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KENNA UCHE\Documents\EERC\"/>
    </mc:Choice>
  </mc:AlternateContent>
  <xr:revisionPtr revIDLastSave="0" documentId="8_{25878FD5-2CFC-422C-BB5B-42DD8C57E103}" xr6:coauthVersionLast="47" xr6:coauthVersionMax="47" xr10:uidLastSave="{00000000-0000-0000-0000-000000000000}"/>
  <bookViews>
    <workbookView xWindow="-120" yWindow="-120" windowWidth="29040" windowHeight="15720" tabRatio="857" activeTab="3" xr2:uid="{00000000-000D-0000-FFFF-FFFF00000000}"/>
  </bookViews>
  <sheets>
    <sheet name="Cover Page" sheetId="1059" r:id="rId1"/>
    <sheet name="Control" sheetId="1028" r:id="rId2"/>
    <sheet name="User Guide" sheetId="1060" r:id="rId3"/>
    <sheet name="Input Data" sheetId="1056" r:id="rId4"/>
    <sheet name="New Entrant Model (NEM)" sheetId="1036" r:id="rId5"/>
    <sheet name="Gen Prices" sheetId="132" r:id="rId6"/>
    <sheet name="Basis-2011" sheetId="1054" state="hidden" r:id="rId7"/>
  </sheets>
  <externalReferences>
    <externalReference r:id="rId8"/>
  </externalReferences>
  <definedNames>
    <definedName name="ADJ">'[1]Asset Depreciation'!#REF!</definedName>
    <definedName name="Capex1Yr" localSheetId="4">'New Entrant Model (NEM)'!$N$84</definedName>
    <definedName name="Capex2Yr" localSheetId="4">'New Entrant Model (NEM)'!$M$84:$N$84</definedName>
    <definedName name="Capex3Yr" localSheetId="4">'New Entrant Model (NEM)'!$L$84:$N$84</definedName>
    <definedName name="Capex4Yr" localSheetId="4">'New Entrant Model (NEM)'!$K$84:$N$84</definedName>
    <definedName name="CapexNPV" localSheetId="4">'New Entrant Model (NEM)'!$J$85</definedName>
    <definedName name="CapexPayment" localSheetId="4">'New Entrant Model (NEM)'!$J$86</definedName>
    <definedName name="Cons1Year" localSheetId="4">'New Entrant Model (NEM)'!$N$26:$AR$26</definedName>
    <definedName name="Cons2Year" localSheetId="4">'New Entrant Model (NEM)'!$M$26:$AR$26</definedName>
    <definedName name="Cons3Year" localSheetId="4">'New Entrant Model (NEM)'!$L$26:$AR$26</definedName>
    <definedName name="Cons4Year" localSheetId="4">'New Entrant Model (NEM)'!$K$26:$AR$26</definedName>
    <definedName name="ConYr1" localSheetId="4">'New Entrant Model (NEM)'!$G$8</definedName>
    <definedName name="ConYr2" localSheetId="4">'New Entrant Model (NEM)'!$G$7</definedName>
    <definedName name="ConYr3" localSheetId="4">'New Entrant Model (NEM)'!$G$6</definedName>
    <definedName name="ConYr4" localSheetId="4">'New Entrant Model (NEM)'!$G$5</definedName>
    <definedName name="EG_Start_Year">'Input Data'!#REF!</definedName>
    <definedName name="EqCapex1Yr" localSheetId="4">'New Entrant Model (NEM)'!$N$87:$BB$87</definedName>
    <definedName name="EqCapex2Yr" localSheetId="4">'New Entrant Model (NEM)'!$M$87:$BB$87</definedName>
    <definedName name="EqCapex3Yr" localSheetId="4">'New Entrant Model (NEM)'!$L$87:$BB$87</definedName>
    <definedName name="EqCapex4Yr" localSheetId="4">'New Entrant Model (NEM)'!$K$87:$BB$87</definedName>
    <definedName name="EqCapexNPV" localSheetId="4">'New Entrant Model (NEM)'!$J$88</definedName>
    <definedName name="EqFeulNPV">'New Entrant Model (NEM)'!$J$121</definedName>
    <definedName name="EqFOMNPV">'New Entrant Model (NEM)'!$J$131</definedName>
    <definedName name="EqFuelNPV">'New Entrant Model (NEM)'!$J$121</definedName>
    <definedName name="EqRevenueNPV">'New Entrant Model (NEM)'!$J$111</definedName>
    <definedName name="EqTax1Yr" localSheetId="4">'New Entrant Model (NEM)'!$N$100:$BB$100</definedName>
    <definedName name="EqTax2Yr" localSheetId="4">'New Entrant Model (NEM)'!$M$100:$BB$100</definedName>
    <definedName name="EqTax3Yr" localSheetId="4">'New Entrant Model (NEM)'!$L$100:$BB$100</definedName>
    <definedName name="EqTax4Yr" localSheetId="4">'New Entrant Model (NEM)'!$K$100:$BB$100</definedName>
    <definedName name="EqTaxNPV" localSheetId="4">'New Entrant Model (NEM)'!$J$101</definedName>
    <definedName name="EqVOMNPV">'New Entrant Model (NEM)'!$J$141</definedName>
    <definedName name="FOMNPV">'New Entrant Model (NEM)'!$J$128</definedName>
    <definedName name="FOMPayment">'New Entrant Model (NEM)'!$J$129</definedName>
    <definedName name="FuelNPV">'New Entrant Model (NEM)'!$J$118</definedName>
    <definedName name="FuelPayment">'New Entrant Model (NEM)'!$J$119</definedName>
    <definedName name="IPP_Row">'Gen Prices'!#REF!</definedName>
    <definedName name="IPP_SU_Year">#REF!</definedName>
    <definedName name="IQ_ADDIN" hidden="1">"AUTO"</definedName>
    <definedName name="MIGA_ExposeFormula">'New Entrant Model (NEM)'!#REF!</definedName>
    <definedName name="MIGA_ExposeValue">'New Entrant Model (NEM)'!#REF!</definedName>
    <definedName name="MIGA_Formulas">'New Entrant Model (NEM)'!#REF!</definedName>
    <definedName name="MIGA_NPV_US">'New Entrant Model (NEM)'!$J$230</definedName>
    <definedName name="MIGA_Test">'New Entrant Model (NEM)'!#REF!</definedName>
    <definedName name="MIGA_Values">'New Entrant Model (NEM)'!#REF!</definedName>
    <definedName name="Model_year">'Gen Prices'!$D$4</definedName>
    <definedName name="NECost" localSheetId="4">'New Entrant Model (NEM)'!$K$51</definedName>
    <definedName name="NEM_capex">'New Entrant Model (NEM)'!$D$20</definedName>
    <definedName name="NEM_FOM">'New Entrant Model (NEM)'!$D$22</definedName>
    <definedName name="NEM_Forex">'New Entrant Model (NEM)'!$D$16</definedName>
    <definedName name="NEM_Fuel">'New Entrant Model (NEM)'!$D$15</definedName>
    <definedName name="NEM_VOM">'New Entrant Model (NEM)'!$D$24</definedName>
    <definedName name="NEM_year">'New Entrant Model (NEM)'!$K$69</definedName>
    <definedName name="NPV" localSheetId="4">'New Entrant Model (NEM)'!$J$29</definedName>
    <definedName name="NPV">'[1]Tariff Calculation'!#REF!</definedName>
    <definedName name="NPV_P">'[1]Tariff Calculation'!#REF!</definedName>
    <definedName name="OK">#REF!</definedName>
    <definedName name="_xlnm.Print_Area" localSheetId="4">'New Entrant Model (NEM)'!$A$1:$S$153</definedName>
    <definedName name="RevenueNPV">'New Entrant Model (NEM)'!$J$108</definedName>
    <definedName name="RevenuePayment">'New Entrant Model (NEM)'!$J$109</definedName>
    <definedName name="Tariff_Class_Details">#REF!</definedName>
    <definedName name="Tariff_Class_Paste">#REF!</definedName>
    <definedName name="Tariff_Class_Zone">#REF!</definedName>
    <definedName name="TaxNPV" localSheetId="4">'New Entrant Model (NEM)'!$J$98</definedName>
    <definedName name="TaxNPV1Yr" localSheetId="4">'New Entrant Model (NEM)'!$N$97:$BB$97</definedName>
    <definedName name="TaxNPV2Yr" localSheetId="4">'New Entrant Model (NEM)'!$M$97:$BB$97</definedName>
    <definedName name="TaxNPV3Yr" localSheetId="4">'New Entrant Model (NEM)'!$L$97:$BB$97</definedName>
    <definedName name="TaxNPV4Yr" localSheetId="4">'New Entrant Model (NEM)'!$K$97:$BB$97</definedName>
    <definedName name="TaxPayment" localSheetId="4">'New Entrant Model (NEM)'!$J$99</definedName>
    <definedName name="verify_D1">#REF!</definedName>
    <definedName name="verify_D1_Load">#REF!</definedName>
    <definedName name="verify_D1_load2">#REF!</definedName>
    <definedName name="verify_D1_load3">#REF!</definedName>
    <definedName name="verify_D1_pop">#REF!</definedName>
    <definedName name="Verify_D1_Rates">#REF!</definedName>
    <definedName name="verify_D1_Rev">#REF!</definedName>
    <definedName name="verify_D1_Rev2">#REF!</definedName>
    <definedName name="verify_D1_subsid">#REF!</definedName>
    <definedName name="verify_D1_util">#REF!</definedName>
    <definedName name="Verify_D1_Values">#REF!</definedName>
    <definedName name="verify_D10">#REF!</definedName>
    <definedName name="verify_D10_Load">#REF!</definedName>
    <definedName name="verify_D10_load2">#REF!</definedName>
    <definedName name="verify_D10_load3">#REF!</definedName>
    <definedName name="verify_D10_pop">#REF!</definedName>
    <definedName name="Verify_D10_Rates">#REF!</definedName>
    <definedName name="verify_D10_Rev">#REF!</definedName>
    <definedName name="verify_D10_Rev2">#REF!</definedName>
    <definedName name="verify_D10_subsid">#REF!</definedName>
    <definedName name="verify_D10_util">#REF!</definedName>
    <definedName name="Verify_D10_Values">#REF!</definedName>
    <definedName name="verify_D11">#REF!</definedName>
    <definedName name="verify_D11_Load">#REF!</definedName>
    <definedName name="verify_D11_load2">#REF!</definedName>
    <definedName name="verify_D11_load3">#REF!</definedName>
    <definedName name="verify_D11_pop">#REF!</definedName>
    <definedName name="Verify_D11_Rates">#REF!</definedName>
    <definedName name="verify_D11_Rev">#REF!</definedName>
    <definedName name="verify_D11_Rev2">#REF!</definedName>
    <definedName name="verify_D11_subsid">#REF!</definedName>
    <definedName name="verify_D11_util">#REF!</definedName>
    <definedName name="Verify_D11_Values">#REF!</definedName>
    <definedName name="verify_D12">#REF!</definedName>
    <definedName name="verify_D12_All">#REF!</definedName>
    <definedName name="verify_D12_Load">#REF!</definedName>
    <definedName name="verify_D12_load2">#REF!</definedName>
    <definedName name="verify_D12_load3">#REF!</definedName>
    <definedName name="verify_D12_pop">#REF!</definedName>
    <definedName name="Verify_D12_Rates">#REF!</definedName>
    <definedName name="verify_D12_Rev">#REF!</definedName>
    <definedName name="verify_D12_Rev2">#REF!</definedName>
    <definedName name="verify_D12_subsid">#REF!</definedName>
    <definedName name="verify_D12_util">#REF!</definedName>
    <definedName name="Verify_D12_Values">#REF!</definedName>
    <definedName name="verify_D2">#REF!</definedName>
    <definedName name="verify_D2_Load">#REF!</definedName>
    <definedName name="verify_D2_load2">#REF!</definedName>
    <definedName name="verify_D2_load3">#REF!</definedName>
    <definedName name="verify_D2_pop">#REF!</definedName>
    <definedName name="Verify_D2_Rates">#REF!</definedName>
    <definedName name="verify_D2_Rev">#REF!</definedName>
    <definedName name="verify_D2_Rev2">#REF!</definedName>
    <definedName name="verify_D2_subsid">#REF!</definedName>
    <definedName name="verify_D2_util">#REF!</definedName>
    <definedName name="Verify_D2_Values">#REF!</definedName>
    <definedName name="verify_D3">#REF!</definedName>
    <definedName name="verify_D3_Load">#REF!</definedName>
    <definedName name="verify_D3_load2">#REF!</definedName>
    <definedName name="verify_D3_load3">#REF!</definedName>
    <definedName name="verify_D3_pop">#REF!</definedName>
    <definedName name="Verify_D3_Rates">#REF!</definedName>
    <definedName name="verify_D3_Rev">#REF!</definedName>
    <definedName name="verify_D3_Rev2">#REF!</definedName>
    <definedName name="verify_D3_subsid">#REF!</definedName>
    <definedName name="verify_D3_util">#REF!</definedName>
    <definedName name="Verify_D3_Values">#REF!</definedName>
    <definedName name="verify_D4">#REF!</definedName>
    <definedName name="verify_D4_Load">#REF!</definedName>
    <definedName name="verify_D4_load2">#REF!</definedName>
    <definedName name="verify_D4_load3">#REF!</definedName>
    <definedName name="verify_D4_pop">#REF!</definedName>
    <definedName name="Verify_D4_Rates">#REF!</definedName>
    <definedName name="verify_D4_Rev">#REF!</definedName>
    <definedName name="verify_D4_Rev2">#REF!</definedName>
    <definedName name="verify_D4_subsid">#REF!</definedName>
    <definedName name="verify_D4_util">#REF!</definedName>
    <definedName name="Verify_D4_Values">#REF!</definedName>
    <definedName name="verify_D5">#REF!</definedName>
    <definedName name="verify_D5_Load">#REF!</definedName>
    <definedName name="verify_D5_load2">#REF!</definedName>
    <definedName name="verify_D5_load3">#REF!</definedName>
    <definedName name="verify_D5_pop">#REF!</definedName>
    <definedName name="Verify_D5_Rates">#REF!</definedName>
    <definedName name="verify_D5_Rev">#REF!</definedName>
    <definedName name="verify_D5_Rev2">#REF!</definedName>
    <definedName name="verify_D5_subsid">#REF!</definedName>
    <definedName name="verify_D5_util">#REF!</definedName>
    <definedName name="Verify_D5_Values">#REF!</definedName>
    <definedName name="verify_D6">#REF!</definedName>
    <definedName name="verify_D6_Load">#REF!</definedName>
    <definedName name="verify_D6_load2">#REF!</definedName>
    <definedName name="verify_D6_load3">#REF!</definedName>
    <definedName name="verify_D6_pop">#REF!</definedName>
    <definedName name="Verify_D6_Rates">#REF!</definedName>
    <definedName name="verify_D6_Rev">#REF!</definedName>
    <definedName name="verify_D6_Rev2">#REF!</definedName>
    <definedName name="verify_D6_subsid">#REF!</definedName>
    <definedName name="verify_D6_util">#REF!</definedName>
    <definedName name="Verify_D6_Values">#REF!</definedName>
    <definedName name="verify_D7">#REF!</definedName>
    <definedName name="verify_D7_Load">#REF!</definedName>
    <definedName name="verify_D7_load2">#REF!</definedName>
    <definedName name="verify_D7_load3">#REF!</definedName>
    <definedName name="verify_D7_pop">#REF!</definedName>
    <definedName name="Verify_D7_Rates">#REF!</definedName>
    <definedName name="verify_D7_Rev">#REF!</definedName>
    <definedName name="verify_D7_Rev2">#REF!</definedName>
    <definedName name="verify_D7_subsid">#REF!</definedName>
    <definedName name="verify_D7_util">#REF!</definedName>
    <definedName name="Verify_D7_Values">#REF!</definedName>
    <definedName name="verify_D8">#REF!</definedName>
    <definedName name="verify_D8_Load">#REF!</definedName>
    <definedName name="verify_D8_load2">#REF!</definedName>
    <definedName name="verify_D8_load3">#REF!</definedName>
    <definedName name="verify_D8_pop">#REF!</definedName>
    <definedName name="Verify_D8_Rates">#REF!</definedName>
    <definedName name="verify_D8_Rev">#REF!</definedName>
    <definedName name="verify_D8_Rev2">#REF!</definedName>
    <definedName name="verify_D8_subsid">#REF!</definedName>
    <definedName name="verify_D8_util">#REF!</definedName>
    <definedName name="Verify_D8_Values">#REF!</definedName>
    <definedName name="verify_D9">#REF!</definedName>
    <definedName name="verify_D9_Load">#REF!</definedName>
    <definedName name="verify_D9_load2">#REF!</definedName>
    <definedName name="verify_D9_load3">#REF!</definedName>
    <definedName name="verify_D9_pop">#REF!</definedName>
    <definedName name="Verify_D9_Rates">#REF!</definedName>
    <definedName name="verify_D9_Rev">#REF!</definedName>
    <definedName name="verify_D9_Rev2">#REF!</definedName>
    <definedName name="verify_D9_subsid">#REF!</definedName>
    <definedName name="verify_D9_util">#REF!</definedName>
    <definedName name="Verify_D9_Values">#REF!</definedName>
    <definedName name="verify_disco_sub">#REF!</definedName>
    <definedName name="verify_gov_subsid">#REF!</definedName>
    <definedName name="Verify_Rev_GWh">#REF!</definedName>
    <definedName name="Verify_Rev_Nm">#REF!</definedName>
    <definedName name="VOMNPV">'New Entrant Model (NEM)'!$J$138</definedName>
    <definedName name="VOMPayment">'New Entrant Model (NEM)'!$J$139</definedName>
    <definedName name="WACC" localSheetId="4">'New Entrant Model (NEM)'!$D$30</definedName>
    <definedName name="Wholesale_endyr">'Gen Prices'!$G$29</definedName>
    <definedName name="Wholesale_Eq">'New Entrant Model (NEM)'!$K$53:$K$59</definedName>
    <definedName name="Wholesale_firstyr">'Gen Prices'!$G$28</definedName>
    <definedName name="Wholesale_IPP">#REF!</definedName>
    <definedName name="Wholesale_IPP_values">'Gen Prices'!#REF!</definedName>
  </definedNames>
  <calcPr calcId="191029" iterateDelta="9.9999999999999995E-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036" l="1"/>
  <c r="D29" i="1036" l="1"/>
  <c r="D14" i="1056"/>
  <c r="D28" i="1036"/>
  <c r="O87" i="1036"/>
  <c r="D30" i="1036" l="1"/>
  <c r="D20" i="1036"/>
  <c r="D24" i="1036" l="1"/>
  <c r="D22" i="1036"/>
  <c r="D15" i="1036"/>
  <c r="D16" i="1036"/>
  <c r="D7" i="132"/>
  <c r="D4" i="132"/>
  <c r="D10" i="132"/>
  <c r="D9" i="132"/>
  <c r="D8" i="132"/>
  <c r="D6" i="132"/>
  <c r="D5" i="132"/>
  <c r="D31" i="1036"/>
  <c r="D13" i="1036"/>
  <c r="D9" i="1036"/>
  <c r="D7" i="1036"/>
  <c r="D8" i="1036"/>
  <c r="D6" i="1036"/>
  <c r="F16" i="1056" l="1"/>
  <c r="G24" i="1059" l="1"/>
  <c r="AR23" i="1036" l="1"/>
  <c r="AS23" i="1036"/>
  <c r="AT23" i="1036"/>
  <c r="AU23" i="1036"/>
  <c r="AV23" i="1036"/>
  <c r="AW23" i="1036"/>
  <c r="AX23" i="1036"/>
  <c r="AY23" i="1036"/>
  <c r="AZ23" i="1036"/>
  <c r="BA23" i="1036"/>
  <c r="BB23" i="1036"/>
  <c r="BC23" i="1036"/>
  <c r="AR24" i="1036"/>
  <c r="AS24" i="1036"/>
  <c r="AT24" i="1036"/>
  <c r="AU24" i="1036"/>
  <c r="AV24" i="1036"/>
  <c r="AW24" i="1036"/>
  <c r="AX24" i="1036"/>
  <c r="AY24" i="1036"/>
  <c r="AZ24" i="1036"/>
  <c r="BA24" i="1036"/>
  <c r="BB24" i="1036"/>
  <c r="BC24" i="1036"/>
  <c r="AR87" i="1036"/>
  <c r="AS87" i="1036"/>
  <c r="AT87" i="1036"/>
  <c r="AU87" i="1036"/>
  <c r="AV87" i="1036"/>
  <c r="AW87" i="1036"/>
  <c r="AX87" i="1036"/>
  <c r="AY87" i="1036"/>
  <c r="AZ87" i="1036"/>
  <c r="BA87" i="1036"/>
  <c r="BB87" i="1036"/>
  <c r="BC87" i="1036"/>
  <c r="AR100" i="1036"/>
  <c r="AS100" i="1036"/>
  <c r="AT100" i="1036"/>
  <c r="AU100" i="1036"/>
  <c r="AV100" i="1036"/>
  <c r="AW100" i="1036"/>
  <c r="AX100" i="1036"/>
  <c r="AY100" i="1036"/>
  <c r="AZ100" i="1036"/>
  <c r="BA100" i="1036"/>
  <c r="BB100" i="1036"/>
  <c r="BC100" i="1036"/>
  <c r="AR110" i="1036"/>
  <c r="AS110" i="1036"/>
  <c r="AT110" i="1036"/>
  <c r="AU110" i="1036"/>
  <c r="AV110" i="1036"/>
  <c r="AW110" i="1036"/>
  <c r="AX110" i="1036"/>
  <c r="AY110" i="1036"/>
  <c r="AZ110" i="1036"/>
  <c r="BA110" i="1036"/>
  <c r="BB110" i="1036"/>
  <c r="BC110" i="1036"/>
  <c r="AR120" i="1036"/>
  <c r="AS120" i="1036"/>
  <c r="AT120" i="1036"/>
  <c r="AU120" i="1036"/>
  <c r="AV120" i="1036"/>
  <c r="AW120" i="1036"/>
  <c r="AX120" i="1036"/>
  <c r="AY120" i="1036"/>
  <c r="AZ120" i="1036"/>
  <c r="BA120" i="1036"/>
  <c r="BB120" i="1036"/>
  <c r="BC120" i="1036"/>
  <c r="AR130" i="1036"/>
  <c r="AS130" i="1036"/>
  <c r="AT130" i="1036"/>
  <c r="AU130" i="1036"/>
  <c r="AV130" i="1036"/>
  <c r="AW130" i="1036"/>
  <c r="AX130" i="1036"/>
  <c r="AY130" i="1036"/>
  <c r="AZ130" i="1036"/>
  <c r="BA130" i="1036"/>
  <c r="BB130" i="1036"/>
  <c r="BC130" i="1036"/>
  <c r="AR140" i="1036"/>
  <c r="AS140" i="1036"/>
  <c r="AT140" i="1036"/>
  <c r="AU140" i="1036"/>
  <c r="AV140" i="1036"/>
  <c r="AW140" i="1036"/>
  <c r="AX140" i="1036"/>
  <c r="AY140" i="1036"/>
  <c r="AZ140" i="1036"/>
  <c r="BA140" i="1036"/>
  <c r="BB140" i="1036"/>
  <c r="BC140" i="1036"/>
  <c r="D17" i="132" l="1"/>
  <c r="I51" i="1036" l="1"/>
  <c r="D17" i="1036" l="1"/>
  <c r="D23" i="1036" l="1"/>
  <c r="D21" i="1036"/>
  <c r="D10" i="1036"/>
  <c r="D11" i="1036" s="1"/>
  <c r="AT7" i="1036" l="1"/>
  <c r="AX7" i="1036"/>
  <c r="BB7" i="1036"/>
  <c r="AU7" i="1036"/>
  <c r="AY7" i="1036"/>
  <c r="BC7" i="1036"/>
  <c r="AR7" i="1036"/>
  <c r="AV7" i="1036"/>
  <c r="AZ7" i="1036"/>
  <c r="AS7" i="1036"/>
  <c r="AW7" i="1036"/>
  <c r="BA7" i="1036"/>
  <c r="AU19" i="1036"/>
  <c r="AU127" i="1036" s="1"/>
  <c r="AY19" i="1036"/>
  <c r="AY127" i="1036" s="1"/>
  <c r="BC19" i="1036"/>
  <c r="BC127" i="1036" s="1"/>
  <c r="AR19" i="1036"/>
  <c r="AV19" i="1036"/>
  <c r="AZ19" i="1036"/>
  <c r="AS19" i="1036"/>
  <c r="AW19" i="1036"/>
  <c r="BA19" i="1036"/>
  <c r="AT19" i="1036"/>
  <c r="AX19" i="1036"/>
  <c r="BB19" i="1036"/>
  <c r="D12" i="1036"/>
  <c r="D14" i="1036" s="1"/>
  <c r="D19" i="1036" s="1"/>
  <c r="D25" i="1036"/>
  <c r="AX9" i="1036" l="1"/>
  <c r="AX127" i="1036"/>
  <c r="BB9" i="1036"/>
  <c r="BB127" i="1036"/>
  <c r="AW9" i="1036"/>
  <c r="AW127" i="1036"/>
  <c r="AR9" i="1036"/>
  <c r="AR127" i="1036"/>
  <c r="AU9" i="1036"/>
  <c r="AS9" i="1036"/>
  <c r="AS127" i="1036"/>
  <c r="AU20" i="1036"/>
  <c r="AU137" i="1036" s="1"/>
  <c r="AY20" i="1036"/>
  <c r="AY137" i="1036" s="1"/>
  <c r="BC20" i="1036"/>
  <c r="BC137" i="1036" s="1"/>
  <c r="AR20" i="1036"/>
  <c r="AV20" i="1036"/>
  <c r="AZ20" i="1036"/>
  <c r="AS20" i="1036"/>
  <c r="AW20" i="1036"/>
  <c r="BA20" i="1036"/>
  <c r="AT20" i="1036"/>
  <c r="AX20" i="1036"/>
  <c r="BB20" i="1036"/>
  <c r="AT9" i="1036"/>
  <c r="AT127" i="1036"/>
  <c r="AZ9" i="1036"/>
  <c r="AZ127" i="1036"/>
  <c r="BC11" i="1036"/>
  <c r="BC10" i="1036"/>
  <c r="BC9" i="1036"/>
  <c r="AU21" i="1036"/>
  <c r="AU117" i="1036" s="1"/>
  <c r="AY21" i="1036"/>
  <c r="AY117" i="1036" s="1"/>
  <c r="BC21" i="1036"/>
  <c r="BC117" i="1036" s="1"/>
  <c r="AR21" i="1036"/>
  <c r="AV21" i="1036"/>
  <c r="AZ21" i="1036"/>
  <c r="AS21" i="1036"/>
  <c r="AW21" i="1036"/>
  <c r="BA21" i="1036"/>
  <c r="AT21" i="1036"/>
  <c r="AX21" i="1036"/>
  <c r="BB21" i="1036"/>
  <c r="BA9" i="1036"/>
  <c r="BA127" i="1036"/>
  <c r="AV9" i="1036"/>
  <c r="AV127" i="1036"/>
  <c r="AY9" i="1036"/>
  <c r="AY11" i="1036" l="1"/>
  <c r="AU11" i="1036"/>
  <c r="AU10" i="1036"/>
  <c r="AY10" i="1036"/>
  <c r="BB11" i="1036"/>
  <c r="BB117" i="1036"/>
  <c r="AW11" i="1036"/>
  <c r="AW117" i="1036"/>
  <c r="AR11" i="1036"/>
  <c r="AR117" i="1036"/>
  <c r="AX10" i="1036"/>
  <c r="AX137" i="1036"/>
  <c r="AS10" i="1036"/>
  <c r="AS137" i="1036"/>
  <c r="AS11" i="1036"/>
  <c r="AS117" i="1036"/>
  <c r="AT10" i="1036"/>
  <c r="AT137" i="1036"/>
  <c r="AZ10" i="1036"/>
  <c r="AZ137" i="1036"/>
  <c r="AT11" i="1036"/>
  <c r="AT117" i="1036"/>
  <c r="AZ11" i="1036"/>
  <c r="AZ117" i="1036"/>
  <c r="BA10" i="1036"/>
  <c r="BA137" i="1036"/>
  <c r="AV10" i="1036"/>
  <c r="AV137" i="1036"/>
  <c r="AX11" i="1036"/>
  <c r="AX117" i="1036"/>
  <c r="BA11" i="1036"/>
  <c r="BA117" i="1036"/>
  <c r="AV11" i="1036"/>
  <c r="AV117" i="1036"/>
  <c r="BB10" i="1036"/>
  <c r="BB137" i="1036"/>
  <c r="AW10" i="1036"/>
  <c r="AW137" i="1036"/>
  <c r="AR10" i="1036"/>
  <c r="AR137" i="1036"/>
  <c r="G5" i="1036" a="1"/>
  <c r="G5" i="1036" s="1"/>
  <c r="G6" i="1036" l="1"/>
  <c r="G8" i="1036"/>
  <c r="G7" i="1036"/>
  <c r="P100" i="1036" l="1"/>
  <c r="Q100" i="1036"/>
  <c r="R100" i="1036"/>
  <c r="S100" i="1036"/>
  <c r="T100" i="1036"/>
  <c r="U100" i="1036"/>
  <c r="V100" i="1036"/>
  <c r="W100" i="1036"/>
  <c r="X100" i="1036"/>
  <c r="Y100" i="1036"/>
  <c r="Z100" i="1036"/>
  <c r="AA100" i="1036"/>
  <c r="AB100" i="1036"/>
  <c r="AC100" i="1036"/>
  <c r="AD100" i="1036"/>
  <c r="AE100" i="1036"/>
  <c r="AF100" i="1036"/>
  <c r="AG100" i="1036"/>
  <c r="AH100" i="1036"/>
  <c r="AI100" i="1036"/>
  <c r="AJ100" i="1036"/>
  <c r="AK100" i="1036"/>
  <c r="AL100" i="1036"/>
  <c r="AM100" i="1036"/>
  <c r="AN100" i="1036"/>
  <c r="AO100" i="1036"/>
  <c r="AP100" i="1036"/>
  <c r="AQ100" i="1036"/>
  <c r="O100" i="1036"/>
  <c r="P140" i="1036"/>
  <c r="Q140" i="1036"/>
  <c r="R140" i="1036"/>
  <c r="S140" i="1036"/>
  <c r="T140" i="1036"/>
  <c r="U140" i="1036"/>
  <c r="V140" i="1036"/>
  <c r="W140" i="1036"/>
  <c r="X140" i="1036"/>
  <c r="Y140" i="1036"/>
  <c r="Z140" i="1036"/>
  <c r="AA140" i="1036"/>
  <c r="AB140" i="1036"/>
  <c r="AC140" i="1036"/>
  <c r="AD140" i="1036"/>
  <c r="AE140" i="1036"/>
  <c r="AF140" i="1036"/>
  <c r="AG140" i="1036"/>
  <c r="AH140" i="1036"/>
  <c r="AI140" i="1036"/>
  <c r="AJ140" i="1036"/>
  <c r="AK140" i="1036"/>
  <c r="AL140" i="1036"/>
  <c r="AM140" i="1036"/>
  <c r="AN140" i="1036"/>
  <c r="AO140" i="1036"/>
  <c r="AP140" i="1036"/>
  <c r="AQ140" i="1036"/>
  <c r="O140" i="1036"/>
  <c r="P120" i="1036"/>
  <c r="Q120" i="1036"/>
  <c r="R120" i="1036"/>
  <c r="S120" i="1036"/>
  <c r="T120" i="1036"/>
  <c r="U120" i="1036"/>
  <c r="V120" i="1036"/>
  <c r="W120" i="1036"/>
  <c r="X120" i="1036"/>
  <c r="Y120" i="1036"/>
  <c r="Z120" i="1036"/>
  <c r="AA120" i="1036"/>
  <c r="AB120" i="1036"/>
  <c r="AC120" i="1036"/>
  <c r="AD120" i="1036"/>
  <c r="AE120" i="1036"/>
  <c r="AF120" i="1036"/>
  <c r="AG120" i="1036"/>
  <c r="AH120" i="1036"/>
  <c r="AI120" i="1036"/>
  <c r="AJ120" i="1036"/>
  <c r="AK120" i="1036"/>
  <c r="AL120" i="1036"/>
  <c r="AM120" i="1036"/>
  <c r="AN120" i="1036"/>
  <c r="AO120" i="1036"/>
  <c r="AP120" i="1036"/>
  <c r="AQ120" i="1036"/>
  <c r="O120" i="1036"/>
  <c r="Q110" i="1036"/>
  <c r="R110" i="1036"/>
  <c r="S110" i="1036"/>
  <c r="T110" i="1036"/>
  <c r="U110" i="1036"/>
  <c r="V110" i="1036"/>
  <c r="W110" i="1036"/>
  <c r="X110" i="1036"/>
  <c r="Y110" i="1036"/>
  <c r="Z110" i="1036"/>
  <c r="AA110" i="1036"/>
  <c r="AB110" i="1036"/>
  <c r="AC110" i="1036"/>
  <c r="AD110" i="1036"/>
  <c r="AE110" i="1036"/>
  <c r="AF110" i="1036"/>
  <c r="AG110" i="1036"/>
  <c r="AH110" i="1036"/>
  <c r="AI110" i="1036"/>
  <c r="AJ110" i="1036"/>
  <c r="AK110" i="1036"/>
  <c r="AL110" i="1036"/>
  <c r="AM110" i="1036"/>
  <c r="AN110" i="1036"/>
  <c r="AO110" i="1036"/>
  <c r="AP110" i="1036"/>
  <c r="AQ110" i="1036"/>
  <c r="P110" i="1036"/>
  <c r="O110" i="1036"/>
  <c r="Q87" i="1036"/>
  <c r="R87" i="1036"/>
  <c r="S87" i="1036"/>
  <c r="T87" i="1036"/>
  <c r="U87" i="1036"/>
  <c r="V87" i="1036"/>
  <c r="W87" i="1036"/>
  <c r="X87" i="1036"/>
  <c r="Y87" i="1036"/>
  <c r="Z87" i="1036"/>
  <c r="AA87" i="1036"/>
  <c r="AB87" i="1036"/>
  <c r="AC87" i="1036"/>
  <c r="AD87" i="1036"/>
  <c r="AE87" i="1036"/>
  <c r="AF87" i="1036"/>
  <c r="AG87" i="1036"/>
  <c r="AH87" i="1036"/>
  <c r="AI87" i="1036"/>
  <c r="AJ87" i="1036"/>
  <c r="AK87" i="1036"/>
  <c r="AL87" i="1036"/>
  <c r="AM87" i="1036"/>
  <c r="AN87" i="1036"/>
  <c r="AO87" i="1036"/>
  <c r="AP87" i="1036"/>
  <c r="AQ87" i="1036"/>
  <c r="P87" i="1036"/>
  <c r="Q23" i="1036"/>
  <c r="R23" i="1036"/>
  <c r="S23" i="1036"/>
  <c r="T23" i="1036"/>
  <c r="U23" i="1036"/>
  <c r="V23" i="1036"/>
  <c r="W23" i="1036"/>
  <c r="X23" i="1036"/>
  <c r="Y23" i="1036"/>
  <c r="Z23" i="1036"/>
  <c r="AA23" i="1036"/>
  <c r="AB23" i="1036"/>
  <c r="AC23" i="1036"/>
  <c r="AD23" i="1036"/>
  <c r="AE23" i="1036"/>
  <c r="AF23" i="1036"/>
  <c r="AG23" i="1036"/>
  <c r="AH23" i="1036"/>
  <c r="AI23" i="1036"/>
  <c r="AJ23" i="1036"/>
  <c r="AK23" i="1036"/>
  <c r="AL23" i="1036"/>
  <c r="AM23" i="1036"/>
  <c r="AN23" i="1036"/>
  <c r="AO23" i="1036"/>
  <c r="AP23" i="1036"/>
  <c r="AQ23" i="1036"/>
  <c r="Q24" i="1036"/>
  <c r="R24" i="1036"/>
  <c r="S24" i="1036"/>
  <c r="T24" i="1036"/>
  <c r="U24" i="1036"/>
  <c r="V24" i="1036"/>
  <c r="W24" i="1036"/>
  <c r="X24" i="1036"/>
  <c r="Y24" i="1036"/>
  <c r="Z24" i="1036"/>
  <c r="AA24" i="1036"/>
  <c r="AB24" i="1036"/>
  <c r="AC24" i="1036"/>
  <c r="AD24" i="1036"/>
  <c r="AE24" i="1036"/>
  <c r="AF24" i="1036"/>
  <c r="AG24" i="1036"/>
  <c r="AH24" i="1036"/>
  <c r="AI24" i="1036"/>
  <c r="AJ24" i="1036"/>
  <c r="AK24" i="1036"/>
  <c r="AL24" i="1036"/>
  <c r="AM24" i="1036"/>
  <c r="AN24" i="1036"/>
  <c r="AO24" i="1036"/>
  <c r="AP24" i="1036"/>
  <c r="AQ24" i="1036"/>
  <c r="P23" i="1036"/>
  <c r="P24" i="1036"/>
  <c r="O24" i="1036"/>
  <c r="O23" i="1036"/>
  <c r="J101" i="1036" l="1"/>
  <c r="J88" i="1036"/>
  <c r="J121" i="1036"/>
  <c r="J141" i="1036"/>
  <c r="J111" i="1036"/>
  <c r="P130" i="1036"/>
  <c r="AB130" i="1036" l="1"/>
  <c r="AK130" i="1036"/>
  <c r="Z130" i="1036"/>
  <c r="W130" i="1036"/>
  <c r="AF130" i="1036"/>
  <c r="U130" i="1036"/>
  <c r="AO130" i="1036"/>
  <c r="AH130" i="1036"/>
  <c r="AA130" i="1036"/>
  <c r="AJ130" i="1036"/>
  <c r="AE130" i="1036"/>
  <c r="Q130" i="1036"/>
  <c r="T130" i="1036"/>
  <c r="Y130" i="1036"/>
  <c r="R130" i="1036"/>
  <c r="AL130" i="1036"/>
  <c r="X130" i="1036"/>
  <c r="AN130" i="1036"/>
  <c r="AG130" i="1036"/>
  <c r="V130" i="1036"/>
  <c r="AP130" i="1036"/>
  <c r="AM130" i="1036"/>
  <c r="AC130" i="1036"/>
  <c r="O130" i="1036"/>
  <c r="AD130" i="1036"/>
  <c r="S130" i="1036"/>
  <c r="AI130" i="1036"/>
  <c r="AQ130" i="1036"/>
  <c r="J131" i="1036" l="1"/>
  <c r="H17" i="1054"/>
  <c r="E17" i="1054"/>
  <c r="H16" i="1054"/>
  <c r="E16" i="1054"/>
  <c r="H15" i="1054"/>
  <c r="E15" i="1054"/>
  <c r="H14" i="1054"/>
  <c r="E14" i="1054"/>
  <c r="H13" i="1054"/>
  <c r="E13" i="1054"/>
  <c r="H12" i="1054"/>
  <c r="E12" i="1054"/>
  <c r="H11" i="1054"/>
  <c r="E11" i="1054"/>
  <c r="H10" i="1054"/>
  <c r="E10" i="1054"/>
  <c r="H9" i="1054"/>
  <c r="E9" i="1054"/>
  <c r="H8" i="1054"/>
  <c r="E8" i="1054"/>
  <c r="H7" i="1054"/>
  <c r="E7" i="1054"/>
  <c r="H6" i="1054"/>
  <c r="E6" i="1054"/>
  <c r="H5" i="1054"/>
  <c r="E5" i="1054"/>
  <c r="H4" i="1054"/>
  <c r="E4" i="1054"/>
  <c r="L107" i="1036"/>
  <c r="K137" i="1036"/>
  <c r="L137" i="1036"/>
  <c r="M137" i="1036"/>
  <c r="N137" i="1036"/>
  <c r="J137" i="1036"/>
  <c r="I137" i="1036"/>
  <c r="K127" i="1036"/>
  <c r="L127" i="1036"/>
  <c r="M127" i="1036"/>
  <c r="N127" i="1036"/>
  <c r="J127" i="1036"/>
  <c r="I127" i="1036"/>
  <c r="K117" i="1036"/>
  <c r="L117" i="1036"/>
  <c r="M117" i="1036"/>
  <c r="N117" i="1036"/>
  <c r="J117" i="1036"/>
  <c r="I117" i="1036"/>
  <c r="J35" i="1036"/>
  <c r="N45" i="1036"/>
  <c r="M45" i="1036"/>
  <c r="L45" i="1036"/>
  <c r="K45" i="1036"/>
  <c r="B4" i="1036"/>
  <c r="M107" i="1036" l="1"/>
  <c r="K107" i="1036"/>
  <c r="N107" i="1036"/>
  <c r="K18" i="1036"/>
  <c r="O8" i="1036"/>
  <c r="L18" i="1036"/>
  <c r="P8" i="1036" l="1"/>
  <c r="D34" i="1036"/>
  <c r="S19" i="1036"/>
  <c r="S127" i="1036" s="1"/>
  <c r="W19" i="1036"/>
  <c r="W127" i="1036" s="1"/>
  <c r="AA19" i="1036"/>
  <c r="AA127" i="1036" s="1"/>
  <c r="AE19" i="1036"/>
  <c r="AE127" i="1036" s="1"/>
  <c r="AI19" i="1036"/>
  <c r="AI127" i="1036" s="1"/>
  <c r="AM19" i="1036"/>
  <c r="AM127" i="1036" s="1"/>
  <c r="AQ19" i="1036"/>
  <c r="AQ127" i="1036" s="1"/>
  <c r="T19" i="1036"/>
  <c r="T127" i="1036" s="1"/>
  <c r="X19" i="1036"/>
  <c r="X127" i="1036" s="1"/>
  <c r="AB19" i="1036"/>
  <c r="AB127" i="1036" s="1"/>
  <c r="AF19" i="1036"/>
  <c r="AF127" i="1036" s="1"/>
  <c r="AJ19" i="1036"/>
  <c r="AJ127" i="1036" s="1"/>
  <c r="AN19" i="1036"/>
  <c r="AN127" i="1036" s="1"/>
  <c r="Q19" i="1036"/>
  <c r="Q127" i="1036" s="1"/>
  <c r="U19" i="1036"/>
  <c r="U127" i="1036" s="1"/>
  <c r="Y19" i="1036"/>
  <c r="Y127" i="1036" s="1"/>
  <c r="AC19" i="1036"/>
  <c r="AC127" i="1036" s="1"/>
  <c r="AG19" i="1036"/>
  <c r="AG127" i="1036" s="1"/>
  <c r="AK19" i="1036"/>
  <c r="AK127" i="1036" s="1"/>
  <c r="AO19" i="1036"/>
  <c r="AO127" i="1036" s="1"/>
  <c r="P19" i="1036"/>
  <c r="P127" i="1036" s="1"/>
  <c r="R19" i="1036"/>
  <c r="R127" i="1036" s="1"/>
  <c r="V19" i="1036"/>
  <c r="V127" i="1036" s="1"/>
  <c r="Z19" i="1036"/>
  <c r="Z127" i="1036" s="1"/>
  <c r="AD19" i="1036"/>
  <c r="AD127" i="1036" s="1"/>
  <c r="AH19" i="1036"/>
  <c r="AL19" i="1036"/>
  <c r="AL127" i="1036" s="1"/>
  <c r="AP19" i="1036"/>
  <c r="AP127" i="1036" s="1"/>
  <c r="O19" i="1036"/>
  <c r="O127" i="1036" s="1"/>
  <c r="T7" i="1036"/>
  <c r="X7" i="1036"/>
  <c r="AB7" i="1036"/>
  <c r="AF7" i="1036"/>
  <c r="AJ7" i="1036"/>
  <c r="AN7" i="1036"/>
  <c r="U7" i="1036"/>
  <c r="Y7" i="1036"/>
  <c r="AG7" i="1036"/>
  <c r="AK7" i="1036"/>
  <c r="P7" i="1036"/>
  <c r="AP7" i="1036"/>
  <c r="AI7" i="1036"/>
  <c r="Q7" i="1036"/>
  <c r="AC7" i="1036"/>
  <c r="AO7" i="1036"/>
  <c r="AA7" i="1036"/>
  <c r="AQ7" i="1036"/>
  <c r="R7" i="1036"/>
  <c r="V7" i="1036"/>
  <c r="Z7" i="1036"/>
  <c r="AD7" i="1036"/>
  <c r="AH7" i="1036"/>
  <c r="AL7" i="1036"/>
  <c r="O7" i="1036"/>
  <c r="AM7" i="1036"/>
  <c r="S7" i="1036"/>
  <c r="W7" i="1036"/>
  <c r="AE7" i="1036"/>
  <c r="M18" i="1036"/>
  <c r="M25" i="1036" s="1"/>
  <c r="M27" i="1036" s="1"/>
  <c r="G9" i="1036"/>
  <c r="K53" i="1036"/>
  <c r="K56" i="1036"/>
  <c r="K58" i="1036"/>
  <c r="K55" i="1036"/>
  <c r="K54" i="1036"/>
  <c r="K52" i="1036"/>
  <c r="K57" i="1036"/>
  <c r="N18" i="1036"/>
  <c r="L25" i="1036"/>
  <c r="L27" i="1036" s="1"/>
  <c r="L84" i="1036"/>
  <c r="K84" i="1036"/>
  <c r="K25" i="1036"/>
  <c r="K27" i="1036" s="1"/>
  <c r="Q8" i="1036" l="1"/>
  <c r="R8" i="1036" s="1"/>
  <c r="S8" i="1036" s="1"/>
  <c r="T8" i="1036" s="1"/>
  <c r="U8" i="1036" s="1"/>
  <c r="V8" i="1036" s="1"/>
  <c r="W8" i="1036" s="1"/>
  <c r="X8" i="1036" s="1"/>
  <c r="Y8" i="1036" s="1"/>
  <c r="Z8" i="1036" s="1"/>
  <c r="AA8" i="1036" s="1"/>
  <c r="AB8" i="1036" s="1"/>
  <c r="AC8" i="1036" s="1"/>
  <c r="AD8" i="1036" s="1"/>
  <c r="AE8" i="1036" s="1"/>
  <c r="AF8" i="1036" s="1"/>
  <c r="AG8" i="1036" s="1"/>
  <c r="AH8" i="1036" s="1"/>
  <c r="AI8" i="1036" s="1"/>
  <c r="AJ8" i="1036" s="1"/>
  <c r="AK8" i="1036" s="1"/>
  <c r="AL8" i="1036" s="1"/>
  <c r="AM8" i="1036" s="1"/>
  <c r="AN8" i="1036" s="1"/>
  <c r="AO8" i="1036" s="1"/>
  <c r="AP8" i="1036" s="1"/>
  <c r="AQ8" i="1036" s="1"/>
  <c r="AR8" i="1036" s="1"/>
  <c r="O9" i="1036"/>
  <c r="D35" i="1036" s="1"/>
  <c r="S21" i="1036"/>
  <c r="S11" i="1036" s="1"/>
  <c r="W21" i="1036"/>
  <c r="W11" i="1036" s="1"/>
  <c r="AA21" i="1036"/>
  <c r="AA11" i="1036" s="1"/>
  <c r="AE21" i="1036"/>
  <c r="AE11" i="1036" s="1"/>
  <c r="AI21" i="1036"/>
  <c r="AM21" i="1036"/>
  <c r="AQ21" i="1036"/>
  <c r="P21" i="1036"/>
  <c r="P11" i="1036" s="1"/>
  <c r="T21" i="1036"/>
  <c r="T11" i="1036" s="1"/>
  <c r="X21" i="1036"/>
  <c r="X11" i="1036" s="1"/>
  <c r="AB21" i="1036"/>
  <c r="AB11" i="1036" s="1"/>
  <c r="AF21" i="1036"/>
  <c r="AF11" i="1036" s="1"/>
  <c r="AJ21" i="1036"/>
  <c r="AN21" i="1036"/>
  <c r="O21" i="1036"/>
  <c r="O11" i="1036" s="1"/>
  <c r="D37" i="1036" s="1"/>
  <c r="Q21" i="1036"/>
  <c r="Q11" i="1036" s="1"/>
  <c r="U21" i="1036"/>
  <c r="U11" i="1036" s="1"/>
  <c r="Y21" i="1036"/>
  <c r="Y11" i="1036" s="1"/>
  <c r="AC21" i="1036"/>
  <c r="AC11" i="1036" s="1"/>
  <c r="AG21" i="1036"/>
  <c r="AG11" i="1036" s="1"/>
  <c r="AK21" i="1036"/>
  <c r="AO21" i="1036"/>
  <c r="R21" i="1036"/>
  <c r="R11" i="1036" s="1"/>
  <c r="V21" i="1036"/>
  <c r="V11" i="1036" s="1"/>
  <c r="Z21" i="1036"/>
  <c r="Z11" i="1036" s="1"/>
  <c r="AD21" i="1036"/>
  <c r="AD11" i="1036" s="1"/>
  <c r="AH21" i="1036"/>
  <c r="AH11" i="1036" s="1"/>
  <c r="AL21" i="1036"/>
  <c r="AP21" i="1036"/>
  <c r="S20" i="1036"/>
  <c r="S10" i="1036" s="1"/>
  <c r="W20" i="1036"/>
  <c r="W10" i="1036" s="1"/>
  <c r="AA20" i="1036"/>
  <c r="AA10" i="1036" s="1"/>
  <c r="AE20" i="1036"/>
  <c r="AE10" i="1036" s="1"/>
  <c r="AI20" i="1036"/>
  <c r="AM20" i="1036"/>
  <c r="AQ20" i="1036"/>
  <c r="AQ137" i="1036" s="1"/>
  <c r="T20" i="1036"/>
  <c r="T10" i="1036" s="1"/>
  <c r="X20" i="1036"/>
  <c r="X10" i="1036" s="1"/>
  <c r="AB20" i="1036"/>
  <c r="AB10" i="1036" s="1"/>
  <c r="AF20" i="1036"/>
  <c r="AF10" i="1036" s="1"/>
  <c r="AJ20" i="1036"/>
  <c r="AN20" i="1036"/>
  <c r="Q20" i="1036"/>
  <c r="Q10" i="1036" s="1"/>
  <c r="U20" i="1036"/>
  <c r="U10" i="1036" s="1"/>
  <c r="Y20" i="1036"/>
  <c r="Y10" i="1036" s="1"/>
  <c r="AC20" i="1036"/>
  <c r="AC10" i="1036" s="1"/>
  <c r="AG20" i="1036"/>
  <c r="AG10" i="1036" s="1"/>
  <c r="AK20" i="1036"/>
  <c r="AO20" i="1036"/>
  <c r="O20" i="1036"/>
  <c r="R20" i="1036"/>
  <c r="R10" i="1036" s="1"/>
  <c r="V20" i="1036"/>
  <c r="V10" i="1036" s="1"/>
  <c r="Z20" i="1036"/>
  <c r="Z10" i="1036" s="1"/>
  <c r="AD20" i="1036"/>
  <c r="AD10" i="1036" s="1"/>
  <c r="AH20" i="1036"/>
  <c r="AH10" i="1036" s="1"/>
  <c r="AL20" i="1036"/>
  <c r="AP20" i="1036"/>
  <c r="P20" i="1036"/>
  <c r="P10" i="1036" s="1"/>
  <c r="M84" i="1036"/>
  <c r="J85" i="1036" s="1"/>
  <c r="O36" i="1036"/>
  <c r="O37" i="1036" s="1"/>
  <c r="O38" i="1036" s="1"/>
  <c r="P36" i="1036" s="1"/>
  <c r="AD9" i="1036"/>
  <c r="AG9" i="1036"/>
  <c r="K59" i="1036"/>
  <c r="L59" i="1036" s="1"/>
  <c r="L56" i="1036"/>
  <c r="N25" i="1036"/>
  <c r="N27" i="1036" s="1"/>
  <c r="N84" i="1036"/>
  <c r="L57" i="1036"/>
  <c r="L54" i="1036"/>
  <c r="L53" i="1036"/>
  <c r="L58" i="1036"/>
  <c r="L55" i="1036"/>
  <c r="AB9" i="1036"/>
  <c r="AE9" i="1036"/>
  <c r="W9" i="1036"/>
  <c r="P9" i="1036"/>
  <c r="Z9" i="1036"/>
  <c r="R9" i="1036"/>
  <c r="T9" i="1036"/>
  <c r="V9" i="1036"/>
  <c r="S9" i="1036"/>
  <c r="AA9" i="1036"/>
  <c r="AF9" i="1036"/>
  <c r="Y9" i="1036"/>
  <c r="U9" i="1036"/>
  <c r="X9" i="1036"/>
  <c r="Q9" i="1036"/>
  <c r="AC9" i="1036"/>
  <c r="AR12" i="1036" l="1"/>
  <c r="AR15" i="1036" s="1"/>
  <c r="AR107" i="1036" s="1"/>
  <c r="AS8" i="1036"/>
  <c r="AT8" i="1036" s="1"/>
  <c r="O10" i="1036"/>
  <c r="D36" i="1036" s="1"/>
  <c r="D38" i="1036" s="1"/>
  <c r="AQ10" i="1036"/>
  <c r="AP10" i="1036"/>
  <c r="AP137" i="1036"/>
  <c r="AO10" i="1036"/>
  <c r="AO137" i="1036"/>
  <c r="AN10" i="1036"/>
  <c r="AN137" i="1036"/>
  <c r="AI10" i="1036"/>
  <c r="AI137" i="1036"/>
  <c r="AO11" i="1036"/>
  <c r="AO117" i="1036"/>
  <c r="AQ11" i="1036"/>
  <c r="AQ117" i="1036"/>
  <c r="AL10" i="1036"/>
  <c r="AL137" i="1036"/>
  <c r="AK10" i="1036"/>
  <c r="AK137" i="1036"/>
  <c r="AJ10" i="1036"/>
  <c r="AJ137" i="1036"/>
  <c r="AP11" i="1036"/>
  <c r="AP117" i="1036"/>
  <c r="AK11" i="1036"/>
  <c r="AK117" i="1036"/>
  <c r="AN11" i="1036"/>
  <c r="AN117" i="1036"/>
  <c r="AM11" i="1036"/>
  <c r="AM117" i="1036"/>
  <c r="AL11" i="1036"/>
  <c r="AL117" i="1036"/>
  <c r="AJ11" i="1036"/>
  <c r="AJ117" i="1036"/>
  <c r="AI11" i="1036"/>
  <c r="AI117" i="1036"/>
  <c r="AM10" i="1036"/>
  <c r="AM137" i="1036"/>
  <c r="S137" i="1036"/>
  <c r="T117" i="1036"/>
  <c r="O137" i="1036"/>
  <c r="P117" i="1036"/>
  <c r="O117" i="1036"/>
  <c r="P137" i="1036"/>
  <c r="Y117" i="1036"/>
  <c r="Y12" i="1036"/>
  <c r="Y15" i="1036" s="1"/>
  <c r="W117" i="1036"/>
  <c r="Z117" i="1036"/>
  <c r="V117" i="1036"/>
  <c r="V12" i="1036"/>
  <c r="V15" i="1036" s="1"/>
  <c r="AE137" i="1036"/>
  <c r="X117" i="1036"/>
  <c r="AC137" i="1036"/>
  <c r="R137" i="1036"/>
  <c r="R12" i="1036"/>
  <c r="R15" i="1036" s="1"/>
  <c r="R44" i="1036" s="1"/>
  <c r="AE117" i="1036"/>
  <c r="AA137" i="1036"/>
  <c r="U117" i="1036"/>
  <c r="U12" i="1036"/>
  <c r="U15" i="1036" s="1"/>
  <c r="Z137" i="1036"/>
  <c r="S117" i="1036"/>
  <c r="X137" i="1036"/>
  <c r="W137" i="1036"/>
  <c r="AF137" i="1036"/>
  <c r="AF12" i="1036"/>
  <c r="AF15" i="1036" s="1"/>
  <c r="AF107" i="1036" s="1"/>
  <c r="AB117" i="1036"/>
  <c r="AB137" i="1036"/>
  <c r="AA117" i="1036"/>
  <c r="AD117" i="1036"/>
  <c r="Q117" i="1036"/>
  <c r="AD137" i="1036"/>
  <c r="Q137" i="1036"/>
  <c r="AC117" i="1036"/>
  <c r="S12" i="1036"/>
  <c r="S15" i="1036" s="1"/>
  <c r="S107" i="1036" s="1"/>
  <c r="T137" i="1036"/>
  <c r="R117" i="1036"/>
  <c r="AF117" i="1036"/>
  <c r="AG117" i="1036"/>
  <c r="Y137" i="1036"/>
  <c r="AG137" i="1036"/>
  <c r="K60" i="1036"/>
  <c r="AH127" i="1036"/>
  <c r="J128" i="1036" s="1"/>
  <c r="U137" i="1036"/>
  <c r="L60" i="1036"/>
  <c r="V137" i="1036"/>
  <c r="T12" i="1036"/>
  <c r="T15" i="1036" s="1"/>
  <c r="AG12" i="1036"/>
  <c r="AG15" i="1036" s="1"/>
  <c r="P37" i="1036"/>
  <c r="P38" i="1036" s="1"/>
  <c r="Q36" i="1036" s="1"/>
  <c r="O45" i="1036"/>
  <c r="AS12" i="1036" l="1"/>
  <c r="AS15" i="1036" s="1"/>
  <c r="AS44" i="1036" s="1"/>
  <c r="AR44" i="1036"/>
  <c r="AT12" i="1036"/>
  <c r="AT15" i="1036" s="1"/>
  <c r="AU8" i="1036"/>
  <c r="AB12" i="1036"/>
  <c r="AB15" i="1036" s="1"/>
  <c r="X12" i="1036"/>
  <c r="X15" i="1036" s="1"/>
  <c r="X44" i="1036" s="1"/>
  <c r="Z12" i="1036"/>
  <c r="Z15" i="1036" s="1"/>
  <c r="Z107" i="1036" s="1"/>
  <c r="W12" i="1036"/>
  <c r="W15" i="1036" s="1"/>
  <c r="W107" i="1036" s="1"/>
  <c r="AI9" i="1036"/>
  <c r="P12" i="1036"/>
  <c r="P15" i="1036" s="1"/>
  <c r="P107" i="1036" s="1"/>
  <c r="AE12" i="1036"/>
  <c r="AE15" i="1036" s="1"/>
  <c r="AE44" i="1036" s="1"/>
  <c r="AC12" i="1036"/>
  <c r="AC15" i="1036" s="1"/>
  <c r="AC107" i="1036" s="1"/>
  <c r="AD12" i="1036"/>
  <c r="AD15" i="1036" s="1"/>
  <c r="AD107" i="1036" s="1"/>
  <c r="Q12" i="1036"/>
  <c r="Q15" i="1036" s="1"/>
  <c r="Q107" i="1036" s="1"/>
  <c r="O12" i="1036"/>
  <c r="O15" i="1036" s="1"/>
  <c r="O44" i="1036" s="1"/>
  <c r="AA12" i="1036"/>
  <c r="AA15" i="1036" s="1"/>
  <c r="AH9" i="1036"/>
  <c r="AH137" i="1036"/>
  <c r="J138" i="1036" s="1"/>
  <c r="AH117" i="1036"/>
  <c r="R107" i="1036"/>
  <c r="AG44" i="1036"/>
  <c r="AF44" i="1036"/>
  <c r="S44" i="1036"/>
  <c r="T107" i="1036"/>
  <c r="V107" i="1036"/>
  <c r="T44" i="1036"/>
  <c r="AG107" i="1036"/>
  <c r="V44" i="1036"/>
  <c r="Y107" i="1036"/>
  <c r="Y44" i="1036"/>
  <c r="U107" i="1036"/>
  <c r="U44" i="1036"/>
  <c r="P45" i="1036"/>
  <c r="Q37" i="1036"/>
  <c r="AS107" i="1036" l="1"/>
  <c r="AU12" i="1036"/>
  <c r="AU15" i="1036" s="1"/>
  <c r="AV8" i="1036"/>
  <c r="AT107" i="1036"/>
  <c r="AT44" i="1036"/>
  <c r="O46" i="1036"/>
  <c r="AB107" i="1036"/>
  <c r="AB44" i="1036"/>
  <c r="P44" i="1036"/>
  <c r="P46" i="1036" s="1"/>
  <c r="P94" i="1036" s="1"/>
  <c r="X107" i="1036"/>
  <c r="Z44" i="1036"/>
  <c r="W44" i="1036"/>
  <c r="AE107" i="1036"/>
  <c r="AI12" i="1036"/>
  <c r="AI15" i="1036" s="1"/>
  <c r="AC44" i="1036"/>
  <c r="AD44" i="1036"/>
  <c r="Q44" i="1036"/>
  <c r="AA107" i="1036"/>
  <c r="AA44" i="1036"/>
  <c r="AH12" i="1036"/>
  <c r="AH15" i="1036" s="1"/>
  <c r="Q45" i="1036"/>
  <c r="Q38" i="1036"/>
  <c r="R36" i="1036" s="1"/>
  <c r="AV12" i="1036" l="1"/>
  <c r="AV15" i="1036" s="1"/>
  <c r="AW8" i="1036"/>
  <c r="AU107" i="1036"/>
  <c r="AU44" i="1036"/>
  <c r="O107" i="1036"/>
  <c r="O95" i="1036"/>
  <c r="O94" i="1036"/>
  <c r="O47" i="1036"/>
  <c r="R37" i="1036"/>
  <c r="R38" i="1036" s="1"/>
  <c r="S36" i="1036" s="1"/>
  <c r="AI107" i="1036"/>
  <c r="AI44" i="1036"/>
  <c r="AJ9" i="1036"/>
  <c r="AK9" i="1036"/>
  <c r="Q46" i="1036"/>
  <c r="Q47" i="1036" s="1"/>
  <c r="AH107" i="1036"/>
  <c r="AH44" i="1036"/>
  <c r="P95" i="1036"/>
  <c r="P47" i="1036"/>
  <c r="AW12" i="1036" l="1"/>
  <c r="AW15" i="1036" s="1"/>
  <c r="AX8" i="1036"/>
  <c r="AV44" i="1036"/>
  <c r="AV107" i="1036"/>
  <c r="O96" i="1036"/>
  <c r="O97" i="1036" s="1"/>
  <c r="R45" i="1036"/>
  <c r="R46" i="1036" s="1"/>
  <c r="R95" i="1036" s="1"/>
  <c r="S37" i="1036"/>
  <c r="S38" i="1036" s="1"/>
  <c r="T36" i="1036" s="1"/>
  <c r="AJ12" i="1036"/>
  <c r="AJ15" i="1036" s="1"/>
  <c r="AK12" i="1036"/>
  <c r="AK15" i="1036" s="1"/>
  <c r="AK107" i="1036" s="1"/>
  <c r="Q95" i="1036"/>
  <c r="Q94" i="1036"/>
  <c r="AX12" i="1036" l="1"/>
  <c r="AX15" i="1036" s="1"/>
  <c r="AY8" i="1036"/>
  <c r="AW107" i="1036"/>
  <c r="AW44" i="1036"/>
  <c r="O22" i="1036"/>
  <c r="O25" i="1036" s="1"/>
  <c r="O27" i="1036" s="1"/>
  <c r="P96" i="1036"/>
  <c r="P97" i="1036" s="1"/>
  <c r="P22" i="1036" s="1"/>
  <c r="P25" i="1036" s="1"/>
  <c r="P27" i="1036" s="1"/>
  <c r="R47" i="1036"/>
  <c r="R94" i="1036"/>
  <c r="S45" i="1036"/>
  <c r="S46" i="1036" s="1"/>
  <c r="S94" i="1036" s="1"/>
  <c r="T37" i="1036"/>
  <c r="T38" i="1036" s="1"/>
  <c r="AJ44" i="1036"/>
  <c r="AJ107" i="1036"/>
  <c r="AK44" i="1036"/>
  <c r="AL9" i="1036"/>
  <c r="AZ8" i="1036" l="1"/>
  <c r="AY12" i="1036"/>
  <c r="AY15" i="1036" s="1"/>
  <c r="AX44" i="1036"/>
  <c r="AX107" i="1036"/>
  <c r="Q96" i="1036"/>
  <c r="Q97" i="1036" s="1"/>
  <c r="S47" i="1036"/>
  <c r="S95" i="1036"/>
  <c r="T45" i="1036"/>
  <c r="T46" i="1036" s="1"/>
  <c r="T47" i="1036" s="1"/>
  <c r="U36" i="1036"/>
  <c r="U37" i="1036"/>
  <c r="U45" i="1036" s="1"/>
  <c r="U46" i="1036" s="1"/>
  <c r="AN9" i="1036"/>
  <c r="AL12" i="1036"/>
  <c r="AL15" i="1036" s="1"/>
  <c r="AL107" i="1036" s="1"/>
  <c r="AM9" i="1036"/>
  <c r="AY107" i="1036" l="1"/>
  <c r="AY44" i="1036"/>
  <c r="AZ12" i="1036"/>
  <c r="AZ15" i="1036" s="1"/>
  <c r="BA8" i="1036"/>
  <c r="Q22" i="1036"/>
  <c r="Q25" i="1036" s="1"/>
  <c r="Q27" i="1036" s="1"/>
  <c r="R96" i="1036"/>
  <c r="R97" i="1036" s="1"/>
  <c r="T95" i="1036"/>
  <c r="T94" i="1036"/>
  <c r="U38" i="1036"/>
  <c r="V36" i="1036" s="1"/>
  <c r="AN12" i="1036"/>
  <c r="AN15" i="1036" s="1"/>
  <c r="AL44" i="1036"/>
  <c r="AM12" i="1036"/>
  <c r="AM15" i="1036" s="1"/>
  <c r="AM107" i="1036" s="1"/>
  <c r="AO9" i="1036"/>
  <c r="U94" i="1036"/>
  <c r="U95" i="1036"/>
  <c r="U47" i="1036"/>
  <c r="AZ44" i="1036" l="1"/>
  <c r="AZ107" i="1036"/>
  <c r="BA12" i="1036"/>
  <c r="BA15" i="1036" s="1"/>
  <c r="BB8" i="1036"/>
  <c r="S96" i="1036"/>
  <c r="S97" i="1036" s="1"/>
  <c r="R22" i="1036"/>
  <c r="R25" i="1036" s="1"/>
  <c r="R27" i="1036" s="1"/>
  <c r="V37" i="1036"/>
  <c r="V38" i="1036" s="1"/>
  <c r="W36" i="1036" s="1"/>
  <c r="AN44" i="1036"/>
  <c r="AN107" i="1036"/>
  <c r="AP9" i="1036"/>
  <c r="AM44" i="1036"/>
  <c r="BA107" i="1036" l="1"/>
  <c r="BA44" i="1036"/>
  <c r="BB12" i="1036"/>
  <c r="BB15" i="1036" s="1"/>
  <c r="BC8" i="1036"/>
  <c r="BC12" i="1036" s="1"/>
  <c r="BC15" i="1036" s="1"/>
  <c r="S22" i="1036"/>
  <c r="S25" i="1036" s="1"/>
  <c r="S27" i="1036" s="1"/>
  <c r="T96" i="1036"/>
  <c r="T97" i="1036" s="1"/>
  <c r="T22" i="1036" s="1"/>
  <c r="T25" i="1036" s="1"/>
  <c r="T27" i="1036" s="1"/>
  <c r="W37" i="1036"/>
  <c r="W45" i="1036" s="1"/>
  <c r="W46" i="1036" s="1"/>
  <c r="W47" i="1036" s="1"/>
  <c r="V45" i="1036"/>
  <c r="V46" i="1036" s="1"/>
  <c r="V94" i="1036" s="1"/>
  <c r="AO12" i="1036"/>
  <c r="AO15" i="1036" s="1"/>
  <c r="AO44" i="1036" s="1"/>
  <c r="AP12" i="1036"/>
  <c r="AP15" i="1036" s="1"/>
  <c r="BC44" i="1036" l="1"/>
  <c r="BC107" i="1036"/>
  <c r="BB44" i="1036"/>
  <c r="BB107" i="1036"/>
  <c r="U96" i="1036"/>
  <c r="U97" i="1036" s="1"/>
  <c r="U22" i="1036" s="1"/>
  <c r="U25" i="1036" s="1"/>
  <c r="U27" i="1036" s="1"/>
  <c r="W95" i="1036"/>
  <c r="W94" i="1036"/>
  <c r="W38" i="1036"/>
  <c r="X36" i="1036" s="1"/>
  <c r="V47" i="1036"/>
  <c r="V95" i="1036"/>
  <c r="AQ9" i="1036"/>
  <c r="AO107" i="1036"/>
  <c r="J132" i="1036"/>
  <c r="M54" i="1036" s="1"/>
  <c r="J89" i="1036"/>
  <c r="M56" i="1036" s="1"/>
  <c r="AP44" i="1036"/>
  <c r="AP107" i="1036"/>
  <c r="V96" i="1036" l="1"/>
  <c r="V97" i="1036" s="1"/>
  <c r="V22" i="1036" s="1"/>
  <c r="V25" i="1036" s="1"/>
  <c r="V27" i="1036" s="1"/>
  <c r="X37" i="1036"/>
  <c r="X45" i="1036" s="1"/>
  <c r="X46" i="1036" s="1"/>
  <c r="X95" i="1036" s="1"/>
  <c r="AQ12" i="1036"/>
  <c r="AQ15" i="1036" s="1"/>
  <c r="J142" i="1036"/>
  <c r="M55" i="1036" s="1"/>
  <c r="W96" i="1036" l="1"/>
  <c r="W97" i="1036" s="1"/>
  <c r="W22" i="1036" s="1"/>
  <c r="W25" i="1036" s="1"/>
  <c r="W27" i="1036" s="1"/>
  <c r="J118" i="1036"/>
  <c r="J122" i="1036" s="1"/>
  <c r="M53" i="1036" s="1"/>
  <c r="X38" i="1036"/>
  <c r="Y36" i="1036" s="1"/>
  <c r="X47" i="1036"/>
  <c r="X94" i="1036"/>
  <c r="AQ44" i="1036"/>
  <c r="AQ107" i="1036"/>
  <c r="J108" i="1036" s="1"/>
  <c r="X96" i="1036" l="1"/>
  <c r="X97" i="1036" s="1"/>
  <c r="X22" i="1036" s="1"/>
  <c r="X25" i="1036" s="1"/>
  <c r="X27" i="1036" s="1"/>
  <c r="Y37" i="1036"/>
  <c r="Y45" i="1036" s="1"/>
  <c r="Y46" i="1036" s="1"/>
  <c r="Y94" i="1036" s="1"/>
  <c r="J112" i="1036"/>
  <c r="M52" i="1036" s="1"/>
  <c r="Y38" i="1036" l="1"/>
  <c r="Z36" i="1036" s="1"/>
  <c r="Y95" i="1036"/>
  <c r="Y96" i="1036" s="1"/>
  <c r="Y97" i="1036" s="1"/>
  <c r="Y22" i="1036" s="1"/>
  <c r="Y25" i="1036" s="1"/>
  <c r="Y27" i="1036" s="1"/>
  <c r="Y47" i="1036"/>
  <c r="Z37" i="1036" l="1"/>
  <c r="Z45" i="1036" s="1"/>
  <c r="Z46" i="1036" s="1"/>
  <c r="Z94" i="1036" s="1"/>
  <c r="Z38" i="1036" l="1"/>
  <c r="AA37" i="1036" s="1"/>
  <c r="AA45" i="1036" s="1"/>
  <c r="AA46" i="1036" s="1"/>
  <c r="Z47" i="1036"/>
  <c r="Z95" i="1036"/>
  <c r="Z96" i="1036" s="1"/>
  <c r="Z97" i="1036" s="1"/>
  <c r="Z22" i="1036" s="1"/>
  <c r="Z25" i="1036" s="1"/>
  <c r="Z27" i="1036" s="1"/>
  <c r="AA36" i="1036" l="1"/>
  <c r="AA38" i="1036" s="1"/>
  <c r="AA95" i="1036"/>
  <c r="AA47" i="1036"/>
  <c r="AA94" i="1036"/>
  <c r="AA96" i="1036" l="1"/>
  <c r="AA97" i="1036" s="1"/>
  <c r="AA22" i="1036" s="1"/>
  <c r="AA25" i="1036" s="1"/>
  <c r="AA27" i="1036" s="1"/>
  <c r="AB37" i="1036"/>
  <c r="AB45" i="1036" s="1"/>
  <c r="AB46" i="1036" s="1"/>
  <c r="AB36" i="1036"/>
  <c r="AB38" i="1036" l="1"/>
  <c r="AC36" i="1036" s="1"/>
  <c r="AB95" i="1036"/>
  <c r="AB47" i="1036"/>
  <c r="AB94" i="1036"/>
  <c r="AC37" i="1036" l="1"/>
  <c r="AC45" i="1036" s="1"/>
  <c r="AC46" i="1036" s="1"/>
  <c r="AC94" i="1036" s="1"/>
  <c r="AB96" i="1036"/>
  <c r="AB97" i="1036" s="1"/>
  <c r="AB22" i="1036" s="1"/>
  <c r="AB25" i="1036" s="1"/>
  <c r="AB27" i="1036" s="1"/>
  <c r="AC47" i="1036" l="1"/>
  <c r="AC95" i="1036"/>
  <c r="AC96" i="1036" s="1"/>
  <c r="AC97" i="1036" s="1"/>
  <c r="AC22" i="1036" s="1"/>
  <c r="AC25" i="1036" s="1"/>
  <c r="AC27" i="1036" s="1"/>
  <c r="AC38" i="1036"/>
  <c r="AD36" i="1036" s="1"/>
  <c r="AD37" i="1036" l="1"/>
  <c r="AD45" i="1036" s="1"/>
  <c r="AD46" i="1036" s="1"/>
  <c r="AD94" i="1036" s="1"/>
  <c r="AD38" i="1036" l="1"/>
  <c r="AE36" i="1036" s="1"/>
  <c r="AD95" i="1036"/>
  <c r="AD96" i="1036" s="1"/>
  <c r="AD97" i="1036" s="1"/>
  <c r="AD22" i="1036" s="1"/>
  <c r="AD25" i="1036" s="1"/>
  <c r="AD27" i="1036" s="1"/>
  <c r="AD47" i="1036"/>
  <c r="AE37" i="1036" l="1"/>
  <c r="AE45" i="1036" s="1"/>
  <c r="AE46" i="1036" s="1"/>
  <c r="AE95" i="1036" s="1"/>
  <c r="AE94" i="1036" l="1"/>
  <c r="AE96" i="1036" s="1"/>
  <c r="AE97" i="1036" s="1"/>
  <c r="AE22" i="1036" s="1"/>
  <c r="AE25" i="1036" s="1"/>
  <c r="AE27" i="1036" s="1"/>
  <c r="AE38" i="1036"/>
  <c r="AF36" i="1036" s="1"/>
  <c r="AE47" i="1036"/>
  <c r="AF37" i="1036" l="1"/>
  <c r="AF45" i="1036" s="1"/>
  <c r="AF46" i="1036" s="1"/>
  <c r="AF47" i="1036" s="1"/>
  <c r="AF38" i="1036" l="1"/>
  <c r="AG36" i="1036" s="1"/>
  <c r="AF94" i="1036"/>
  <c r="AF95" i="1036"/>
  <c r="AG37" i="1036" l="1"/>
  <c r="AG45" i="1036" s="1"/>
  <c r="AG46" i="1036" s="1"/>
  <c r="AG94" i="1036" s="1"/>
  <c r="AF96" i="1036"/>
  <c r="AF97" i="1036" s="1"/>
  <c r="AF22" i="1036" s="1"/>
  <c r="AF25" i="1036" s="1"/>
  <c r="AF27" i="1036" s="1"/>
  <c r="AG95" i="1036" l="1"/>
  <c r="AG96" i="1036" s="1"/>
  <c r="AG97" i="1036" s="1"/>
  <c r="AG22" i="1036" s="1"/>
  <c r="AG25" i="1036" s="1"/>
  <c r="AG27" i="1036" s="1"/>
  <c r="AG47" i="1036"/>
  <c r="AG38" i="1036"/>
  <c r="AH36" i="1036" s="1"/>
  <c r="AH37" i="1036" l="1"/>
  <c r="AH45" i="1036" s="1"/>
  <c r="AH46" i="1036" s="1"/>
  <c r="AH94" i="1036" s="1"/>
  <c r="AH38" i="1036" l="1"/>
  <c r="AI36" i="1036" s="1"/>
  <c r="AH95" i="1036"/>
  <c r="AH96" i="1036" s="1"/>
  <c r="AH97" i="1036" s="1"/>
  <c r="AH22" i="1036" s="1"/>
  <c r="AH25" i="1036" s="1"/>
  <c r="AH27" i="1036" s="1"/>
  <c r="AH47" i="1036"/>
  <c r="AI37" i="1036" l="1"/>
  <c r="AI45" i="1036" s="1"/>
  <c r="AI46" i="1036" s="1"/>
  <c r="AI94" i="1036" s="1"/>
  <c r="AI38" i="1036" l="1"/>
  <c r="AJ37" i="1036" s="1"/>
  <c r="AJ45" i="1036" s="1"/>
  <c r="AJ46" i="1036" s="1"/>
  <c r="AI47" i="1036"/>
  <c r="AI95" i="1036"/>
  <c r="AI96" i="1036" s="1"/>
  <c r="AI97" i="1036" s="1"/>
  <c r="AI22" i="1036" s="1"/>
  <c r="AI25" i="1036" s="1"/>
  <c r="AI27" i="1036" s="1"/>
  <c r="AJ36" i="1036" l="1"/>
  <c r="AJ38" i="1036" s="1"/>
  <c r="AJ94" i="1036"/>
  <c r="AJ47" i="1036"/>
  <c r="AJ95" i="1036"/>
  <c r="AJ96" i="1036" l="1"/>
  <c r="AJ97" i="1036" s="1"/>
  <c r="AJ22" i="1036" s="1"/>
  <c r="AJ25" i="1036" s="1"/>
  <c r="AJ27" i="1036" s="1"/>
  <c r="AK37" i="1036"/>
  <c r="AK45" i="1036" s="1"/>
  <c r="AK46" i="1036" s="1"/>
  <c r="AK36" i="1036"/>
  <c r="AK38" i="1036" l="1"/>
  <c r="AK47" i="1036"/>
  <c r="AK94" i="1036"/>
  <c r="AK95" i="1036"/>
  <c r="AK96" i="1036" l="1"/>
  <c r="AK97" i="1036" s="1"/>
  <c r="AK22" i="1036" s="1"/>
  <c r="AK25" i="1036" s="1"/>
  <c r="AK27" i="1036" s="1"/>
  <c r="AL37" i="1036"/>
  <c r="AL45" i="1036" s="1"/>
  <c r="AL46" i="1036" s="1"/>
  <c r="AL36" i="1036"/>
  <c r="AL38" i="1036" l="1"/>
  <c r="AL95" i="1036"/>
  <c r="AL94" i="1036"/>
  <c r="AL47" i="1036"/>
  <c r="AL96" i="1036" l="1"/>
  <c r="AL97" i="1036" s="1"/>
  <c r="AL22" i="1036" s="1"/>
  <c r="AL25" i="1036" s="1"/>
  <c r="AL27" i="1036" s="1"/>
  <c r="AM36" i="1036"/>
  <c r="AM37" i="1036"/>
  <c r="AM45" i="1036" s="1"/>
  <c r="AM46" i="1036" s="1"/>
  <c r="AM94" i="1036" l="1"/>
  <c r="AM47" i="1036"/>
  <c r="AM95" i="1036"/>
  <c r="AM38" i="1036"/>
  <c r="AN36" i="1036" l="1"/>
  <c r="AN37" i="1036"/>
  <c r="AN45" i="1036" s="1"/>
  <c r="AN46" i="1036" s="1"/>
  <c r="AM96" i="1036"/>
  <c r="AM97" i="1036" s="1"/>
  <c r="AM22" i="1036" s="1"/>
  <c r="AM25" i="1036" s="1"/>
  <c r="AM27" i="1036" s="1"/>
  <c r="AN95" i="1036" l="1"/>
  <c r="AN47" i="1036"/>
  <c r="AN94" i="1036"/>
  <c r="AN38" i="1036"/>
  <c r="AN96" i="1036" l="1"/>
  <c r="AN97" i="1036" s="1"/>
  <c r="AN22" i="1036" s="1"/>
  <c r="AN25" i="1036" s="1"/>
  <c r="AN27" i="1036" s="1"/>
  <c r="AO37" i="1036"/>
  <c r="AO45" i="1036" s="1"/>
  <c r="AO46" i="1036" s="1"/>
  <c r="AO36" i="1036"/>
  <c r="AO38" i="1036" l="1"/>
  <c r="AO47" i="1036"/>
  <c r="AO95" i="1036"/>
  <c r="AO94" i="1036"/>
  <c r="AO96" i="1036" l="1"/>
  <c r="AO97" i="1036" s="1"/>
  <c r="AO22" i="1036" s="1"/>
  <c r="AO25" i="1036" s="1"/>
  <c r="AO27" i="1036" s="1"/>
  <c r="AP37" i="1036"/>
  <c r="AP45" i="1036" s="1"/>
  <c r="AP46" i="1036" s="1"/>
  <c r="AP36" i="1036"/>
  <c r="AP38" i="1036" l="1"/>
  <c r="AP47" i="1036"/>
  <c r="AP95" i="1036"/>
  <c r="AP94" i="1036"/>
  <c r="AP96" i="1036" l="1"/>
  <c r="AP97" i="1036" s="1"/>
  <c r="AP22" i="1036" s="1"/>
  <c r="AP25" i="1036" s="1"/>
  <c r="AP27" i="1036" s="1"/>
  <c r="AQ37" i="1036"/>
  <c r="AQ36" i="1036"/>
  <c r="AQ45" i="1036" l="1"/>
  <c r="AQ46" i="1036" s="1"/>
  <c r="AQ94" i="1036" s="1"/>
  <c r="AQ38" i="1036"/>
  <c r="AR36" i="1036" s="1"/>
  <c r="AR37" i="1036" l="1"/>
  <c r="AR38" i="1036" s="1"/>
  <c r="AS36" i="1036" s="1"/>
  <c r="AQ47" i="1036"/>
  <c r="AQ95" i="1036"/>
  <c r="AQ96" i="1036" s="1"/>
  <c r="AQ97" i="1036" s="1"/>
  <c r="AQ22" i="1036" s="1"/>
  <c r="AQ25" i="1036" s="1"/>
  <c r="AQ27" i="1036" s="1"/>
  <c r="AR45" i="1036" l="1"/>
  <c r="AR46" i="1036" s="1"/>
  <c r="AR95" i="1036" s="1"/>
  <c r="AS37" i="1036"/>
  <c r="AS45" i="1036" s="1"/>
  <c r="AS46" i="1036" s="1"/>
  <c r="AR94" i="1036" l="1"/>
  <c r="AR96" i="1036" s="1"/>
  <c r="AR97" i="1036" s="1"/>
  <c r="AR22" i="1036" s="1"/>
  <c r="AR25" i="1036" s="1"/>
  <c r="AR27" i="1036" s="1"/>
  <c r="AR47" i="1036"/>
  <c r="AS38" i="1036"/>
  <c r="AT36" i="1036" s="1"/>
  <c r="AS94" i="1036"/>
  <c r="AS95" i="1036"/>
  <c r="AS47" i="1036"/>
  <c r="AT37" i="1036" l="1"/>
  <c r="AT38" i="1036" s="1"/>
  <c r="AU36" i="1036" s="1"/>
  <c r="AS96" i="1036"/>
  <c r="AS97" i="1036" s="1"/>
  <c r="AS22" i="1036" s="1"/>
  <c r="AS25" i="1036" s="1"/>
  <c r="AS27" i="1036" s="1"/>
  <c r="AU37" i="1036" l="1"/>
  <c r="AU38" i="1036" s="1"/>
  <c r="AV36" i="1036" s="1"/>
  <c r="AT45" i="1036"/>
  <c r="AT46" i="1036" s="1"/>
  <c r="AT95" i="1036" s="1"/>
  <c r="AU45" i="1036" l="1"/>
  <c r="AU46" i="1036" s="1"/>
  <c r="AU47" i="1036" s="1"/>
  <c r="AT47" i="1036"/>
  <c r="AT94" i="1036"/>
  <c r="AT96" i="1036" s="1"/>
  <c r="AT97" i="1036" s="1"/>
  <c r="AT22" i="1036" s="1"/>
  <c r="AT25" i="1036" s="1"/>
  <c r="AT27" i="1036" s="1"/>
  <c r="AV37" i="1036"/>
  <c r="AV38" i="1036" s="1"/>
  <c r="AW36" i="1036" s="1"/>
  <c r="AU94" i="1036" l="1"/>
  <c r="AU95" i="1036"/>
  <c r="AV45" i="1036"/>
  <c r="AV46" i="1036" s="1"/>
  <c r="AV95" i="1036" s="1"/>
  <c r="AW37" i="1036"/>
  <c r="AW45" i="1036" s="1"/>
  <c r="AW46" i="1036" s="1"/>
  <c r="AW94" i="1036" s="1"/>
  <c r="AU96" i="1036" l="1"/>
  <c r="AU97" i="1036" s="1"/>
  <c r="AU22" i="1036" s="1"/>
  <c r="AU25" i="1036" s="1"/>
  <c r="AU27" i="1036" s="1"/>
  <c r="AV94" i="1036"/>
  <c r="AV47" i="1036"/>
  <c r="AW47" i="1036"/>
  <c r="AW95" i="1036"/>
  <c r="AW38" i="1036"/>
  <c r="AX36" i="1036" s="1"/>
  <c r="AV96" i="1036" l="1"/>
  <c r="AV97" i="1036" s="1"/>
  <c r="AV22" i="1036" s="1"/>
  <c r="AV25" i="1036" s="1"/>
  <c r="AV27" i="1036" s="1"/>
  <c r="AX37" i="1036"/>
  <c r="AX38" i="1036" s="1"/>
  <c r="AY36" i="1036" s="1"/>
  <c r="AW96" i="1036" l="1"/>
  <c r="AW97" i="1036" s="1"/>
  <c r="AW22" i="1036" s="1"/>
  <c r="AW25" i="1036" s="1"/>
  <c r="AW27" i="1036" s="1"/>
  <c r="AY37" i="1036"/>
  <c r="AY38" i="1036" s="1"/>
  <c r="AZ36" i="1036" s="1"/>
  <c r="AX45" i="1036"/>
  <c r="AX46" i="1036" s="1"/>
  <c r="AX47" i="1036" s="1"/>
  <c r="AY45" i="1036" l="1"/>
  <c r="AY46" i="1036" s="1"/>
  <c r="AY47" i="1036" s="1"/>
  <c r="AZ37" i="1036"/>
  <c r="AZ45" i="1036" s="1"/>
  <c r="AZ46" i="1036" s="1"/>
  <c r="AZ94" i="1036" s="1"/>
  <c r="AX95" i="1036"/>
  <c r="AX94" i="1036"/>
  <c r="AY95" i="1036" l="1"/>
  <c r="AY94" i="1036"/>
  <c r="AZ38" i="1036"/>
  <c r="BA36" i="1036" s="1"/>
  <c r="AZ47" i="1036"/>
  <c r="AZ95" i="1036"/>
  <c r="AX96" i="1036"/>
  <c r="AX97" i="1036" s="1"/>
  <c r="AX22" i="1036" s="1"/>
  <c r="AX25" i="1036" s="1"/>
  <c r="AX27" i="1036" s="1"/>
  <c r="BA37" i="1036"/>
  <c r="BA45" i="1036" s="1"/>
  <c r="BA46" i="1036" s="1"/>
  <c r="AY96" i="1036" l="1"/>
  <c r="AY97" i="1036" s="1"/>
  <c r="AY22" i="1036" s="1"/>
  <c r="AY25" i="1036" s="1"/>
  <c r="AY27" i="1036" s="1"/>
  <c r="BA47" i="1036"/>
  <c r="BA94" i="1036"/>
  <c r="BA95" i="1036"/>
  <c r="BA38" i="1036"/>
  <c r="AZ96" i="1036" l="1"/>
  <c r="AZ97" i="1036" s="1"/>
  <c r="AZ22" i="1036" s="1"/>
  <c r="AZ25" i="1036" s="1"/>
  <c r="AZ27" i="1036" s="1"/>
  <c r="BB36" i="1036"/>
  <c r="BB37" i="1036"/>
  <c r="BB45" i="1036" s="1"/>
  <c r="BB46" i="1036" s="1"/>
  <c r="BA96" i="1036" l="1"/>
  <c r="BA97" i="1036" s="1"/>
  <c r="BA22" i="1036" s="1"/>
  <c r="BA25" i="1036" s="1"/>
  <c r="BA27" i="1036" s="1"/>
  <c r="BB95" i="1036"/>
  <c r="BB47" i="1036"/>
  <c r="BB94" i="1036"/>
  <c r="BB38" i="1036"/>
  <c r="BB96" i="1036" l="1"/>
  <c r="BB97" i="1036" s="1"/>
  <c r="J98" i="1036" s="1"/>
  <c r="BC36" i="1036"/>
  <c r="BC37" i="1036"/>
  <c r="BC45" i="1036" s="1"/>
  <c r="BC46" i="1036" s="1"/>
  <c r="J102" i="1036" l="1"/>
  <c r="M57" i="1036" s="1"/>
  <c r="BB22" i="1036"/>
  <c r="BB25" i="1036" s="1"/>
  <c r="BB27" i="1036" s="1"/>
  <c r="J29" i="1036" s="1"/>
  <c r="BC95" i="1036"/>
  <c r="BC47" i="1036"/>
  <c r="BC94" i="1036"/>
  <c r="BC38" i="1036"/>
  <c r="M51" i="1036" l="1"/>
  <c r="BC96" i="1036"/>
  <c r="BC97" i="1036" s="1"/>
  <c r="BC22" i="1036" s="1"/>
  <c r="BC25" i="1036" s="1"/>
  <c r="BC27" i="1036" s="1"/>
</calcChain>
</file>

<file path=xl/sharedStrings.xml><?xml version="1.0" encoding="utf-8"?>
<sst xmlns="http://schemas.openxmlformats.org/spreadsheetml/2006/main" count="327" uniqueCount="225">
  <si>
    <t>Total</t>
  </si>
  <si>
    <t>Year</t>
  </si>
  <si>
    <t xml:space="preserve"> </t>
  </si>
  <si>
    <t>Fuel</t>
  </si>
  <si>
    <t>Revenue</t>
  </si>
  <si>
    <t>MW</t>
  </si>
  <si>
    <t>GWh</t>
  </si>
  <si>
    <t>%</t>
  </si>
  <si>
    <t>N/MWh</t>
  </si>
  <si>
    <t>Fixed O&amp;M</t>
  </si>
  <si>
    <t>Depreciation</t>
  </si>
  <si>
    <t>D1</t>
  </si>
  <si>
    <t>Tariff Code</t>
  </si>
  <si>
    <t>Commercial C1</t>
  </si>
  <si>
    <t>Commercial C2</t>
  </si>
  <si>
    <t>Commercial C3</t>
  </si>
  <si>
    <t>Industrial D2</t>
  </si>
  <si>
    <t>Industrial D3</t>
  </si>
  <si>
    <t>Assumptions</t>
  </si>
  <si>
    <t>Corporate tax rate</t>
  </si>
  <si>
    <t>Capacity factor</t>
  </si>
  <si>
    <t>Value</t>
  </si>
  <si>
    <t>Units</t>
  </si>
  <si>
    <t>Installed capacity</t>
  </si>
  <si>
    <t>Auxiliary requirements</t>
  </si>
  <si>
    <t>Energy generated</t>
  </si>
  <si>
    <t>Capital cost</t>
  </si>
  <si>
    <t>Variable O&amp;M</t>
  </si>
  <si>
    <t>Construction profile</t>
  </si>
  <si>
    <t>Carbon tax</t>
  </si>
  <si>
    <t>Capex</t>
  </si>
  <si>
    <t>Total costs</t>
  </si>
  <si>
    <t>Total revenue</t>
  </si>
  <si>
    <t>Costs</t>
  </si>
  <si>
    <t>Fuel cost</t>
  </si>
  <si>
    <t>Taxation</t>
  </si>
  <si>
    <t>Other costs</t>
  </si>
  <si>
    <t>After tax cash flow</t>
  </si>
  <si>
    <t>NPV</t>
  </si>
  <si>
    <t>Construction Period</t>
  </si>
  <si>
    <t>Total capital cost</t>
  </si>
  <si>
    <t>NPV Calculation</t>
  </si>
  <si>
    <t>Book value start of period</t>
  </si>
  <si>
    <t>Depreciation charge</t>
  </si>
  <si>
    <t>Book value end of period</t>
  </si>
  <si>
    <t>Net income and tax</t>
  </si>
  <si>
    <t>EBITDA</t>
  </si>
  <si>
    <t>Taxable income</t>
  </si>
  <si>
    <t>Estimated capital cost calculation</t>
  </si>
  <si>
    <t>Capex NPV</t>
  </si>
  <si>
    <t>Equivalent capex stream</t>
  </si>
  <si>
    <t>Equivalent capex payment</t>
  </si>
  <si>
    <t>Equivalent NPV</t>
  </si>
  <si>
    <t>Estimated tax cost calculation</t>
  </si>
  <si>
    <t>Tax expense NPV</t>
  </si>
  <si>
    <t>Equivalent tax stream</t>
  </si>
  <si>
    <t>Station MLF</t>
  </si>
  <si>
    <t>Tax cost</t>
  </si>
  <si>
    <t>Carbon tax cost</t>
  </si>
  <si>
    <t>Variable O&amp;M (sent out)</t>
  </si>
  <si>
    <t>Fixed O&amp;M (sent out)</t>
  </si>
  <si>
    <t>Sent out generation</t>
  </si>
  <si>
    <t>Net Loss</t>
  </si>
  <si>
    <t>Net Pre-tax income</t>
  </si>
  <si>
    <t>Tax payable</t>
  </si>
  <si>
    <t>N/kW</t>
  </si>
  <si>
    <t>N 000</t>
  </si>
  <si>
    <t>N/MW/year</t>
  </si>
  <si>
    <t>Nk/year</t>
  </si>
  <si>
    <t>Nk</t>
  </si>
  <si>
    <t>Capital cost (N/kW)</t>
  </si>
  <si>
    <t>Fixed O&amp;M (N/MW/year)</t>
  </si>
  <si>
    <t>Fixed O&amp;M (N/MWh)</t>
  </si>
  <si>
    <t>Variable O&amp;M (N/MWh)</t>
  </si>
  <si>
    <t>Capital cost (N/MWh)</t>
  </si>
  <si>
    <t>Transmission loss cost</t>
  </si>
  <si>
    <t xml:space="preserve">* Generation revenue is reduced by MLF to allow for transmission loss </t>
  </si>
  <si>
    <t>Equivalent tax payment</t>
  </si>
  <si>
    <t>Variable O&amp;M (sent out) (N/MWh)</t>
  </si>
  <si>
    <t>Tax cost (N/MWh)</t>
  </si>
  <si>
    <t>Depreciation (straight line)</t>
  </si>
  <si>
    <t>Sent out efficiency (HHV)</t>
  </si>
  <si>
    <t>Fuel cost (N/MWh) (HHV)</t>
  </si>
  <si>
    <t>N/MMbtu</t>
  </si>
  <si>
    <t>Project Life</t>
  </si>
  <si>
    <t>Forex</t>
  </si>
  <si>
    <t>ratio</t>
  </si>
  <si>
    <t>N / $</t>
  </si>
  <si>
    <t>Carbon Costs</t>
  </si>
  <si>
    <t>HHV to LHV Conversion</t>
  </si>
  <si>
    <t>Sent out efficiency (LHV)</t>
  </si>
  <si>
    <t>Average Degradation</t>
  </si>
  <si>
    <t>Estimated revenue calculation</t>
  </si>
  <si>
    <t>Revenue NPV</t>
  </si>
  <si>
    <t>Equivalent revenue payment</t>
  </si>
  <si>
    <t>Equivalent revenue stream</t>
  </si>
  <si>
    <t>Estimated fuel calculation</t>
  </si>
  <si>
    <t>Equivalent fuel costs</t>
  </si>
  <si>
    <t>Equivalent fuel stream</t>
  </si>
  <si>
    <t>Estimated FOM calculation</t>
  </si>
  <si>
    <t>Equivalent FOM costs</t>
  </si>
  <si>
    <t>Equivalent FOM stream</t>
  </si>
  <si>
    <t>Estimated VOM calculation</t>
  </si>
  <si>
    <t>Equivalent VOM costs</t>
  </si>
  <si>
    <t>Equivalent VOM stream</t>
  </si>
  <si>
    <t>Depreciation Years</t>
  </si>
  <si>
    <t>Equalized Costs</t>
  </si>
  <si>
    <t>Years</t>
  </si>
  <si>
    <t>Startup Power Year</t>
  </si>
  <si>
    <t>Revenue Before Transmission Loss</t>
  </si>
  <si>
    <t>Fuel cost  (HHV)</t>
  </si>
  <si>
    <t>Forex (N/$)</t>
  </si>
  <si>
    <t>First Year Power</t>
  </si>
  <si>
    <t>s/b zero</t>
  </si>
  <si>
    <t>GBTU</t>
  </si>
  <si>
    <t>$ / Mbtu</t>
  </si>
  <si>
    <t>Station MLF *</t>
  </si>
  <si>
    <t>Energy sent out *</t>
  </si>
  <si>
    <t>Other Costs</t>
  </si>
  <si>
    <t>yr</t>
  </si>
  <si>
    <t>ASSUMPTIONS</t>
  </si>
  <si>
    <t>US $/kW</t>
  </si>
  <si>
    <t>Energy sent out (unit conversion) *</t>
  </si>
  <si>
    <t>REGULATOR'S VIEW</t>
  </si>
  <si>
    <t>Enter First Year of Wholesale Prices Calculations</t>
  </si>
  <si>
    <t>Enter Last Year of Wholesale Prices Calculations</t>
  </si>
  <si>
    <t>Begin - Backup Calculations</t>
  </si>
  <si>
    <t>End - Equalization Calculations</t>
  </si>
  <si>
    <t>Begin - Equalization Calculations</t>
  </si>
  <si>
    <t>End - Backup Calculations</t>
  </si>
  <si>
    <t>Income tax expense</t>
  </si>
  <si>
    <t>Cost of fuel</t>
  </si>
  <si>
    <t>Capacity Price</t>
  </si>
  <si>
    <t>Total Price</t>
  </si>
  <si>
    <t>Fuel Price</t>
  </si>
  <si>
    <t>VOM Price</t>
  </si>
  <si>
    <t>Pre-Tax Real WACC</t>
  </si>
  <si>
    <t>FOM Price</t>
  </si>
  <si>
    <t>Capacity Payment</t>
  </si>
  <si>
    <t>N / kWh</t>
  </si>
  <si>
    <t>Tariff Summary</t>
  </si>
  <si>
    <t>Need for IPP Calcs</t>
  </si>
  <si>
    <t>Other info</t>
  </si>
  <si>
    <t>Average capacity degradation</t>
  </si>
  <si>
    <t>Fuel Input (LHV)</t>
  </si>
  <si>
    <t>Macro Control Section - Do Not Delete</t>
  </si>
  <si>
    <t>End of Macro Control Section</t>
  </si>
  <si>
    <t>Wholesale contract prices (N/MWh)</t>
  </si>
  <si>
    <t>VOM NPV</t>
  </si>
  <si>
    <t>FOM NPV</t>
  </si>
  <si>
    <t>Fuel NPV</t>
  </si>
  <si>
    <t>Color Convention</t>
  </si>
  <si>
    <t>Real Pretax WACC</t>
  </si>
  <si>
    <t>Input</t>
  </si>
  <si>
    <t>Output</t>
  </si>
  <si>
    <t>Fixed N/month</t>
  </si>
  <si>
    <t>Energy N/Kwh</t>
  </si>
  <si>
    <t>Residential  R1</t>
  </si>
  <si>
    <t>Residential  R2</t>
  </si>
  <si>
    <t>Residential  R3</t>
  </si>
  <si>
    <t>Residential  R4</t>
  </si>
  <si>
    <t>Industrial 1</t>
  </si>
  <si>
    <t>Special 1</t>
  </si>
  <si>
    <t>Special 2</t>
  </si>
  <si>
    <t>Special 3</t>
  </si>
  <si>
    <t>Street Lightng S1</t>
  </si>
  <si>
    <t>Economic Life</t>
  </si>
  <si>
    <t>Starting Year</t>
  </si>
  <si>
    <t>Has the user certified the Fuel Page as correct</t>
  </si>
  <si>
    <t>No</t>
  </si>
  <si>
    <t>Input Data</t>
  </si>
  <si>
    <t>Fuel Data</t>
  </si>
  <si>
    <t>This page is where you enter your fuel data, after you have finished populating the input data</t>
  </si>
  <si>
    <t>Embedded Gen Prices</t>
  </si>
  <si>
    <t>Control</t>
  </si>
  <si>
    <t xml:space="preserve">This page contains links to other worksheets. </t>
  </si>
  <si>
    <t>New Entrant Model (NEM)</t>
  </si>
  <si>
    <t>This worksheet uses the NEM sheet to calculate the embedded generation tariff and displays the main components.</t>
  </si>
  <si>
    <t>Instructions</t>
  </si>
  <si>
    <t xml:space="preserve">ENUGU STATE ELECTRICITY REGULATORY COMMISSION </t>
  </si>
  <si>
    <t>Version No:</t>
  </si>
  <si>
    <t>Version's Date</t>
  </si>
  <si>
    <t>Version Name</t>
  </si>
  <si>
    <t>Today's Date</t>
  </si>
  <si>
    <t xml:space="preserve">Developed by </t>
  </si>
  <si>
    <t>S2R Consulting</t>
  </si>
  <si>
    <t>Generation Price Estimator</t>
  </si>
  <si>
    <t>Table of Content</t>
  </si>
  <si>
    <t>Worksheet Name</t>
  </si>
  <si>
    <t>Description</t>
  </si>
  <si>
    <t>Cover Page</t>
  </si>
  <si>
    <t>Cover Page of the Model, gives general instructions</t>
  </si>
  <si>
    <t>User Guide</t>
  </si>
  <si>
    <t>Guide the user of the model on how the model works</t>
  </si>
  <si>
    <t xml:space="preserve">This is where the vast majority of the model inputs , not related to  costs  are inserted and changed </t>
  </si>
  <si>
    <t>This is where the equipment and installation costs of the projects  are inputted</t>
  </si>
  <si>
    <t>Light Orange cells are for regulated inputs inputted by the EERC</t>
  </si>
  <si>
    <t>Aqua cells indicate cells to be inputted by user</t>
  </si>
  <si>
    <t>White Cells are used for calculated results</t>
  </si>
  <si>
    <t xml:space="preserve">Assumption </t>
  </si>
  <si>
    <t xml:space="preserve">This is where the costs assumptions for generation are processed through a DCF calculation to arrive at a tariff figure. </t>
  </si>
  <si>
    <t>There is a macro on this page that calculates the tariff for a given year.</t>
  </si>
  <si>
    <t>Note that the Construction Period (cell F7) should correspond with the Construction Profile (cells I6:L6).</t>
  </si>
  <si>
    <t>After completion the button should be clicked.</t>
  </si>
  <si>
    <t xml:space="preserve">The Input Data sheet should be filled with the project's parameters.  </t>
  </si>
  <si>
    <t>GENERATION PRICE ESTIMATION MODEL</t>
  </si>
  <si>
    <t>Yes</t>
  </si>
  <si>
    <t>Genco Price</t>
  </si>
  <si>
    <r>
      <t>Only put data in the</t>
    </r>
    <r>
      <rPr>
        <b/>
        <sz val="10"/>
        <rFont val="Arial"/>
        <family val="2"/>
      </rPr>
      <t xml:space="preserve"> Input Worksheets</t>
    </r>
    <r>
      <rPr>
        <sz val="10"/>
        <rFont val="Arial"/>
        <family val="2"/>
      </rPr>
      <t>, whose tabs are coloured in aqua.</t>
    </r>
  </si>
  <si>
    <r>
      <t xml:space="preserve">Please do not input data into </t>
    </r>
    <r>
      <rPr>
        <b/>
        <sz val="10"/>
        <rFont val="Arial"/>
        <family val="2"/>
      </rPr>
      <t>"Gen Prices" Worksheets</t>
    </r>
  </si>
  <si>
    <t>The Fuel data should be filled for the relevant years.</t>
  </si>
  <si>
    <t>The User should then go to the Gen Prices sheet and click the button there to calculate the tariffs.</t>
  </si>
  <si>
    <t xml:space="preserve">Generation Assumptions </t>
  </si>
  <si>
    <t>ENTER CHANGES IN NEW ENTRANT ASSUMPTIONS ON ASSUMPTIONS SHEET</t>
  </si>
  <si>
    <t xml:space="preserve">Financial Assumptions </t>
  </si>
  <si>
    <t>Exchange Rate</t>
  </si>
  <si>
    <t>Naira/$</t>
  </si>
  <si>
    <t>WACC</t>
  </si>
  <si>
    <t>Fuel Cost</t>
  </si>
  <si>
    <t>$/MMBtu</t>
  </si>
  <si>
    <t>Tax Rate</t>
  </si>
  <si>
    <t>USD Components Split</t>
  </si>
  <si>
    <t>Naira Components Split</t>
  </si>
  <si>
    <t>Delivered fuel price ($/MMbtu)</t>
  </si>
  <si>
    <t>EERCGPEM_01_10_2024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</si>
</sst>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&quot;$&quot;#,##0.00;[Red]\-&quot;$&quot;#,##0.00"/>
    <numFmt numFmtId="166" formatCode="0.0%"/>
    <numFmt numFmtId="167" formatCode="_(* #,##0_);_(* \(#,##0\);_(* &quot;-&quot;??_);_(@_)"/>
    <numFmt numFmtId="168" formatCode="#,##0;\(#,##0\)"/>
    <numFmt numFmtId="169" formatCode="0.00000"/>
    <numFmt numFmtId="170" formatCode="0.0000"/>
    <numFmt numFmtId="171" formatCode="#,##0_ ;[Red]\-#,##0\ "/>
    <numFmt numFmtId="172" formatCode="#,##0.00_ ;[Red]\-#,##0.00\ "/>
    <numFmt numFmtId="173" formatCode="#,##0.000"/>
    <numFmt numFmtId="174" formatCode="_(* #,##0.0_);_(* \(#,##0.0\);_(* &quot;-&quot;??_);_(@_)"/>
    <numFmt numFmtId="175" formatCode="_(* #,##0.000_);_(* \(#,##0.000\);_(* &quot;-&quot;??_);_(@_)"/>
    <numFmt numFmtId="176" formatCode="#,##0.000_);[Red]\(#,##0.000\)"/>
    <numFmt numFmtId="177" formatCode="[$-F800]dddd\,\ mmmm\ dd\,\ yyyy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i/>
      <sz val="9"/>
      <name val="Arial"/>
      <family val="2"/>
    </font>
    <font>
      <sz val="9"/>
      <color indexed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sz val="9"/>
      <color indexed="12"/>
      <name val="Arial"/>
      <family val="2"/>
    </font>
    <font>
      <sz val="8"/>
      <name val="Arial"/>
      <family val="2"/>
    </font>
    <font>
      <sz val="28"/>
      <color indexed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b/>
      <sz val="9"/>
      <color rgb="FFFF0000"/>
      <name val="Arial"/>
      <family val="2"/>
    </font>
    <font>
      <sz val="9"/>
      <color rgb="FF0000FF"/>
      <name val="Arial"/>
      <family val="2"/>
    </font>
    <font>
      <b/>
      <sz val="9"/>
      <color indexed="8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9"/>
      <color theme="1"/>
      <name val="Arial"/>
      <family val="2"/>
    </font>
    <font>
      <sz val="9"/>
      <color indexed="48"/>
      <name val="Arial"/>
      <family val="2"/>
    </font>
    <font>
      <b/>
      <u/>
      <sz val="9"/>
      <color rgb="FFFF0000"/>
      <name val="Arial"/>
      <family val="2"/>
    </font>
    <font>
      <sz val="10"/>
      <color theme="0" tint="-0.499984740745262"/>
      <name val="Arial"/>
      <family val="2"/>
    </font>
    <font>
      <b/>
      <u/>
      <sz val="10"/>
      <name val="Arial"/>
      <family val="2"/>
    </font>
    <font>
      <sz val="9"/>
      <color theme="0"/>
      <name val="Arial"/>
      <family val="2"/>
    </font>
    <font>
      <sz val="9"/>
      <color theme="0" tint="-0.14999847407452621"/>
      <name val="Arial"/>
      <family val="2"/>
    </font>
    <font>
      <sz val="9"/>
      <name val="Geneva"/>
      <family val="2"/>
    </font>
    <font>
      <u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8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0"/>
      <color theme="10"/>
      <name val="Arial"/>
      <family val="2"/>
    </font>
    <font>
      <b/>
      <sz val="16"/>
      <color theme="9"/>
      <name val="Arial"/>
      <family val="2"/>
    </font>
    <font>
      <b/>
      <sz val="18"/>
      <color theme="9"/>
      <name val="Arial"/>
      <family val="2"/>
    </font>
    <font>
      <b/>
      <sz val="16"/>
      <color rgb="FFFF0000"/>
      <name val="Arial"/>
      <family val="2"/>
    </font>
    <font>
      <b/>
      <sz val="18"/>
      <color theme="6" tint="-0.499984740745262"/>
      <name val="Arial"/>
      <family val="2"/>
    </font>
    <font>
      <b/>
      <sz val="14"/>
      <color theme="0"/>
      <name val="Arial"/>
      <family val="2"/>
    </font>
    <font>
      <b/>
      <sz val="12"/>
      <color theme="0" tint="-0.499984740745262"/>
      <name val="Arial"/>
      <family val="2"/>
    </font>
    <font>
      <sz val="10"/>
      <color theme="9" tint="-0.249977111117893"/>
      <name val="Arial"/>
      <family val="2"/>
    </font>
    <font>
      <b/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rgb="FF00FF00"/>
      <name val="Arial"/>
      <family val="2"/>
    </font>
    <font>
      <b/>
      <sz val="12"/>
      <color theme="9"/>
      <name val="Arial"/>
      <family val="2"/>
    </font>
    <font>
      <sz val="10"/>
      <color theme="9"/>
      <name val="Arial"/>
      <family val="2"/>
    </font>
    <font>
      <sz val="10"/>
      <color rgb="FF00B0F0"/>
      <name val="Arial"/>
      <family val="2"/>
    </font>
    <font>
      <sz val="10"/>
      <color theme="8"/>
      <name val="Arial"/>
      <family val="2"/>
    </font>
    <font>
      <sz val="12"/>
      <name val="Arial"/>
      <family val="2"/>
    </font>
    <font>
      <sz val="9"/>
      <name val="Century Gothic"/>
      <family val="2"/>
    </font>
    <font>
      <b/>
      <u/>
      <sz val="18"/>
      <color theme="0"/>
      <name val="Arial"/>
      <family val="2"/>
    </font>
    <font>
      <b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964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9592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7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/>
      <bottom style="thin">
        <color indexed="64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168" fontId="8" fillId="0" borderId="0" applyFill="0" applyBorder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4" fillId="0" borderId="0" applyFill="0" applyBorder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5" fillId="0" borderId="0" applyNumberFormat="0" applyFill="0" applyBorder="0" applyAlignment="0" applyProtection="0"/>
  </cellStyleXfs>
  <cellXfs count="367">
    <xf numFmtId="0" fontId="0" fillId="0" borderId="0" xfId="0"/>
    <xf numFmtId="0" fontId="6" fillId="2" borderId="0" xfId="0" applyFont="1" applyFill="1"/>
    <xf numFmtId="0" fontId="7" fillId="0" borderId="0" xfId="0" applyFont="1"/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4" fillId="0" borderId="0" xfId="4"/>
    <xf numFmtId="0" fontId="21" fillId="0" borderId="0" xfId="4" applyFont="1"/>
    <xf numFmtId="0" fontId="17" fillId="0" borderId="0" xfId="0" applyFont="1"/>
    <xf numFmtId="0" fontId="17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9" fillId="0" borderId="0" xfId="0" applyFont="1"/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" fontId="11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25" fillId="0" borderId="0" xfId="0" applyFont="1"/>
    <xf numFmtId="2" fontId="10" fillId="0" borderId="0" xfId="0" applyNumberFormat="1" applyFont="1"/>
    <xf numFmtId="1" fontId="10" fillId="0" borderId="0" xfId="0" applyNumberFormat="1" applyFont="1"/>
    <xf numFmtId="43" fontId="15" fillId="0" borderId="0" xfId="1" applyFont="1"/>
    <xf numFmtId="0" fontId="24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8" xfId="0" applyFont="1" applyBorder="1"/>
    <xf numFmtId="0" fontId="6" fillId="0" borderId="7" xfId="0" applyFont="1" applyBorder="1"/>
    <xf numFmtId="174" fontId="26" fillId="0" borderId="0" xfId="1" applyNumberFormat="1" applyFont="1" applyFill="1" applyBorder="1"/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7" fillId="4" borderId="0" xfId="0" applyFont="1" applyFill="1"/>
    <xf numFmtId="0" fontId="6" fillId="0" borderId="15" xfId="0" applyFont="1" applyBorder="1"/>
    <xf numFmtId="10" fontId="15" fillId="0" borderId="0" xfId="3" applyNumberFormat="1" applyFont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left" indent="1"/>
    </xf>
    <xf numFmtId="38" fontId="6" fillId="0" borderId="0" xfId="0" applyNumberFormat="1" applyFont="1" applyAlignment="1">
      <alignment horizontal="center"/>
    </xf>
    <xf numFmtId="0" fontId="4" fillId="0" borderId="0" xfId="0" applyFont="1"/>
    <xf numFmtId="0" fontId="5" fillId="6" borderId="9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6" borderId="10" xfId="0" applyFont="1" applyFill="1" applyBorder="1"/>
    <xf numFmtId="0" fontId="6" fillId="6" borderId="11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27" fillId="4" borderId="2" xfId="0" applyFont="1" applyFill="1" applyBorder="1"/>
    <xf numFmtId="0" fontId="0" fillId="4" borderId="3" xfId="0" applyFill="1" applyBorder="1"/>
    <xf numFmtId="0" fontId="0" fillId="4" borderId="8" xfId="0" applyFill="1" applyBorder="1"/>
    <xf numFmtId="0" fontId="0" fillId="4" borderId="6" xfId="0" applyFill="1" applyBorder="1"/>
    <xf numFmtId="0" fontId="27" fillId="4" borderId="6" xfId="0" applyFont="1" applyFill="1" applyBorder="1"/>
    <xf numFmtId="0" fontId="0" fillId="4" borderId="7" xfId="0" applyFill="1" applyBorder="1"/>
    <xf numFmtId="38" fontId="6" fillId="0" borderId="0" xfId="0" applyNumberFormat="1" applyFont="1"/>
    <xf numFmtId="38" fontId="6" fillId="0" borderId="5" xfId="0" applyNumberFormat="1" applyFont="1" applyBorder="1"/>
    <xf numFmtId="0" fontId="6" fillId="0" borderId="3" xfId="0" applyFont="1" applyBorder="1" applyAlignment="1">
      <alignment horizontal="center"/>
    </xf>
    <xf numFmtId="0" fontId="5" fillId="0" borderId="8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5" fillId="0" borderId="0" xfId="0" applyFont="1"/>
    <xf numFmtId="0" fontId="6" fillId="0" borderId="6" xfId="0" applyFont="1" applyBorder="1"/>
    <xf numFmtId="38" fontId="6" fillId="0" borderId="26" xfId="0" applyNumberFormat="1" applyFont="1" applyBorder="1"/>
    <xf numFmtId="0" fontId="8" fillId="0" borderId="6" xfId="0" applyFont="1" applyBorder="1"/>
    <xf numFmtId="0" fontId="6" fillId="0" borderId="14" xfId="0" applyFont="1" applyBorder="1" applyAlignment="1">
      <alignment horizontal="center"/>
    </xf>
    <xf numFmtId="0" fontId="6" fillId="0" borderId="33" xfId="0" applyFont="1" applyBorder="1"/>
    <xf numFmtId="0" fontId="6" fillId="0" borderId="34" xfId="0" applyFont="1" applyBorder="1"/>
    <xf numFmtId="0" fontId="6" fillId="0" borderId="15" xfId="0" applyFont="1" applyBorder="1" applyAlignment="1">
      <alignment horizontal="left" indent="1"/>
    </xf>
    <xf numFmtId="3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2" fontId="16" fillId="0" borderId="0" xfId="0" applyNumberFormat="1" applyFont="1" applyAlignment="1">
      <alignment horizontal="left"/>
    </xf>
    <xf numFmtId="38" fontId="17" fillId="0" borderId="0" xfId="0" applyNumberFormat="1" applyFont="1"/>
    <xf numFmtId="43" fontId="6" fillId="0" borderId="0" xfId="1" applyFont="1" applyBorder="1"/>
    <xf numFmtId="0" fontId="18" fillId="0" borderId="0" xfId="0" applyFont="1"/>
    <xf numFmtId="40" fontId="6" fillId="0" borderId="5" xfId="0" applyNumberFormat="1" applyFont="1" applyBorder="1"/>
    <xf numFmtId="0" fontId="0" fillId="0" borderId="6" xfId="0" applyBorder="1"/>
    <xf numFmtId="9" fontId="6" fillId="0" borderId="0" xfId="0" applyNumberFormat="1" applyFont="1"/>
    <xf numFmtId="0" fontId="6" fillId="0" borderId="9" xfId="0" applyFont="1" applyBorder="1"/>
    <xf numFmtId="38" fontId="6" fillId="0" borderId="6" xfId="0" applyNumberFormat="1" applyFont="1" applyBorder="1"/>
    <xf numFmtId="175" fontId="6" fillId="0" borderId="0" xfId="1" applyNumberFormat="1" applyFont="1"/>
    <xf numFmtId="0" fontId="7" fillId="0" borderId="0" xfId="0" applyFont="1" applyAlignment="1">
      <alignment horizontal="right"/>
    </xf>
    <xf numFmtId="0" fontId="8" fillId="0" borderId="8" xfId="0" applyFont="1" applyBorder="1"/>
    <xf numFmtId="9" fontId="6" fillId="0" borderId="7" xfId="3" applyFont="1" applyFill="1" applyBorder="1"/>
    <xf numFmtId="0" fontId="5" fillId="0" borderId="10" xfId="0" applyFont="1" applyBorder="1" applyAlignment="1">
      <alignment horizontal="center"/>
    </xf>
    <xf numFmtId="0" fontId="5" fillId="0" borderId="4" xfId="0" applyFont="1" applyBorder="1"/>
    <xf numFmtId="38" fontId="5" fillId="0" borderId="0" xfId="0" applyNumberFormat="1" applyFont="1"/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0" fillId="5" borderId="0" xfId="0" applyNumberFormat="1" applyFont="1" applyFill="1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center"/>
    </xf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6" fillId="3" borderId="9" xfId="0" applyFont="1" applyFill="1" applyBorder="1"/>
    <xf numFmtId="0" fontId="6" fillId="3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38" fontId="6" fillId="3" borderId="0" xfId="0" applyNumberFormat="1" applyFont="1" applyFill="1"/>
    <xf numFmtId="38" fontId="6" fillId="3" borderId="5" xfId="0" applyNumberFormat="1" applyFont="1" applyFill="1" applyBorder="1"/>
    <xf numFmtId="40" fontId="6" fillId="0" borderId="0" xfId="1" applyNumberFormat="1" applyFont="1" applyBorder="1"/>
    <xf numFmtId="9" fontId="5" fillId="0" borderId="7" xfId="0" applyNumberFormat="1" applyFont="1" applyBorder="1" applyAlignment="1">
      <alignment horizontal="center"/>
    </xf>
    <xf numFmtId="0" fontId="6" fillId="0" borderId="24" xfId="0" applyFont="1" applyBorder="1"/>
    <xf numFmtId="0" fontId="6" fillId="0" borderId="25" xfId="0" applyFont="1" applyBorder="1" applyAlignment="1">
      <alignment horizontal="center"/>
    </xf>
    <xf numFmtId="0" fontId="6" fillId="0" borderId="27" xfId="0" applyFont="1" applyBorder="1"/>
    <xf numFmtId="0" fontId="6" fillId="0" borderId="28" xfId="0" applyFont="1" applyBorder="1" applyAlignment="1">
      <alignment horizontal="center"/>
    </xf>
    <xf numFmtId="171" fontId="6" fillId="0" borderId="5" xfId="0" applyNumberFormat="1" applyFont="1" applyBorder="1"/>
    <xf numFmtId="10" fontId="6" fillId="0" borderId="0" xfId="3" applyNumberFormat="1" applyFont="1"/>
    <xf numFmtId="167" fontId="6" fillId="0" borderId="7" xfId="1" applyNumberFormat="1" applyFont="1" applyBorder="1"/>
    <xf numFmtId="38" fontId="6" fillId="3" borderId="4" xfId="0" applyNumberFormat="1" applyFont="1" applyFill="1" applyBorder="1"/>
    <xf numFmtId="38" fontId="23" fillId="0" borderId="0" xfId="0" applyNumberFormat="1" applyFont="1"/>
    <xf numFmtId="38" fontId="5" fillId="3" borderId="4" xfId="0" applyNumberFormat="1" applyFont="1" applyFill="1" applyBorder="1"/>
    <xf numFmtId="38" fontId="5" fillId="3" borderId="0" xfId="0" applyNumberFormat="1" applyFont="1" applyFill="1"/>
    <xf numFmtId="38" fontId="5" fillId="3" borderId="5" xfId="0" applyNumberFormat="1" applyFont="1" applyFill="1" applyBorder="1"/>
    <xf numFmtId="175" fontId="6" fillId="0" borderId="0" xfId="1" applyNumberFormat="1" applyFont="1" applyBorder="1"/>
    <xf numFmtId="43" fontId="6" fillId="0" borderId="0" xfId="1" applyFont="1"/>
    <xf numFmtId="9" fontId="6" fillId="0" borderId="5" xfId="0" applyNumberFormat="1" applyFont="1" applyBorder="1" applyAlignment="1">
      <alignment horizontal="center"/>
    </xf>
    <xf numFmtId="0" fontId="6" fillId="3" borderId="8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6" fillId="0" borderId="0" xfId="4" applyFont="1" applyAlignment="1">
      <alignment horizontal="center"/>
    </xf>
    <xf numFmtId="43" fontId="6" fillId="0" borderId="0" xfId="1" quotePrefix="1" applyFont="1" applyBorder="1"/>
    <xf numFmtId="38" fontId="6" fillId="0" borderId="0" xfId="0" quotePrefix="1" applyNumberFormat="1" applyFont="1"/>
    <xf numFmtId="169" fontId="6" fillId="0" borderId="6" xfId="0" applyNumberFormat="1" applyFont="1" applyBorder="1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167" fontId="6" fillId="0" borderId="5" xfId="1" applyNumberFormat="1" applyFont="1" applyBorder="1"/>
    <xf numFmtId="0" fontId="6" fillId="7" borderId="1" xfId="0" applyFont="1" applyFill="1" applyBorder="1"/>
    <xf numFmtId="0" fontId="6" fillId="7" borderId="2" xfId="0" applyFont="1" applyFill="1" applyBorder="1"/>
    <xf numFmtId="0" fontId="6" fillId="7" borderId="2" xfId="0" applyFont="1" applyFill="1" applyBorder="1" applyAlignment="1">
      <alignment horizontal="center"/>
    </xf>
    <xf numFmtId="0" fontId="17" fillId="7" borderId="2" xfId="0" applyFont="1" applyFill="1" applyBorder="1"/>
    <xf numFmtId="0" fontId="5" fillId="7" borderId="2" xfId="0" applyFont="1" applyFill="1" applyBorder="1"/>
    <xf numFmtId="175" fontId="10" fillId="0" borderId="0" xfId="1" applyNumberFormat="1" applyFont="1" applyBorder="1"/>
    <xf numFmtId="0" fontId="6" fillId="7" borderId="8" xfId="0" applyFont="1" applyFill="1" applyBorder="1"/>
    <xf numFmtId="0" fontId="6" fillId="7" borderId="6" xfId="0" applyFont="1" applyFill="1" applyBorder="1"/>
    <xf numFmtId="0" fontId="6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5" fillId="7" borderId="6" xfId="0" applyFont="1" applyFill="1" applyBorder="1"/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/>
    </xf>
    <xf numFmtId="175" fontId="12" fillId="0" borderId="0" xfId="1" applyNumberFormat="1" applyFont="1"/>
    <xf numFmtId="38" fontId="6" fillId="6" borderId="4" xfId="0" applyNumberFormat="1" applyFont="1" applyFill="1" applyBorder="1"/>
    <xf numFmtId="38" fontId="6" fillId="6" borderId="0" xfId="0" applyNumberFormat="1" applyFont="1" applyFill="1"/>
    <xf numFmtId="38" fontId="6" fillId="6" borderId="5" xfId="0" applyNumberFormat="1" applyFont="1" applyFill="1" applyBorder="1"/>
    <xf numFmtId="9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 indent="2"/>
    </xf>
    <xf numFmtId="38" fontId="33" fillId="6" borderId="4" xfId="0" applyNumberFormat="1" applyFont="1" applyFill="1" applyBorder="1"/>
    <xf numFmtId="38" fontId="33" fillId="6" borderId="0" xfId="0" applyNumberFormat="1" applyFont="1" applyFill="1"/>
    <xf numFmtId="38" fontId="33" fillId="6" borderId="5" xfId="0" applyNumberFormat="1" applyFont="1" applyFill="1" applyBorder="1"/>
    <xf numFmtId="0" fontId="23" fillId="0" borderId="4" xfId="0" applyFont="1" applyBorder="1" applyAlignment="1">
      <alignment horizontal="left" indent="1"/>
    </xf>
    <xf numFmtId="0" fontId="23" fillId="0" borderId="0" xfId="0" applyFont="1" applyAlignment="1">
      <alignment horizontal="center"/>
    </xf>
    <xf numFmtId="38" fontId="23" fillId="6" borderId="4" xfId="0" applyNumberFormat="1" applyFont="1" applyFill="1" applyBorder="1"/>
    <xf numFmtId="38" fontId="23" fillId="6" borderId="0" xfId="0" applyNumberFormat="1" applyFont="1" applyFill="1"/>
    <xf numFmtId="38" fontId="23" fillId="6" borderId="5" xfId="0" applyNumberFormat="1" applyFont="1" applyFill="1" applyBorder="1"/>
    <xf numFmtId="9" fontId="24" fillId="0" borderId="5" xfId="0" applyNumberFormat="1" applyFont="1" applyBorder="1"/>
    <xf numFmtId="0" fontId="34" fillId="0" borderId="4" xfId="0" applyFont="1" applyBorder="1" applyAlignment="1">
      <alignment horizontal="left" indent="1"/>
    </xf>
    <xf numFmtId="0" fontId="34" fillId="0" borderId="0" xfId="0" applyFont="1" applyAlignment="1">
      <alignment horizontal="center"/>
    </xf>
    <xf numFmtId="38" fontId="34" fillId="6" borderId="4" xfId="0" applyNumberFormat="1" applyFont="1" applyFill="1" applyBorder="1"/>
    <xf numFmtId="38" fontId="34" fillId="6" borderId="0" xfId="0" applyNumberFormat="1" applyFont="1" applyFill="1"/>
    <xf numFmtId="38" fontId="34" fillId="6" borderId="5" xfId="0" applyNumberFormat="1" applyFont="1" applyFill="1" applyBorder="1"/>
    <xf numFmtId="38" fontId="34" fillId="0" borderId="0" xfId="0" applyNumberFormat="1" applyFont="1"/>
    <xf numFmtId="172" fontId="5" fillId="8" borderId="29" xfId="0" applyNumberFormat="1" applyFont="1" applyFill="1" applyBorder="1" applyProtection="1">
      <protection locked="0"/>
    </xf>
    <xf numFmtId="171" fontId="5" fillId="8" borderId="5" xfId="0" applyNumberFormat="1" applyFont="1" applyFill="1" applyBorder="1" applyProtection="1">
      <protection locked="0"/>
    </xf>
    <xf numFmtId="171" fontId="5" fillId="8" borderId="29" xfId="0" applyNumberFormat="1" applyFont="1" applyFill="1" applyBorder="1" applyProtection="1">
      <protection locked="0"/>
    </xf>
    <xf numFmtId="171" fontId="6" fillId="0" borderId="26" xfId="0" applyNumberFormat="1" applyFont="1" applyBorder="1"/>
    <xf numFmtId="38" fontId="29" fillId="0" borderId="0" xfId="0" quotePrefix="1" applyNumberFormat="1" applyFont="1"/>
    <xf numFmtId="171" fontId="22" fillId="0" borderId="29" xfId="0" applyNumberFormat="1" applyFont="1" applyBorder="1"/>
    <xf numFmtId="171" fontId="22" fillId="0" borderId="26" xfId="0" applyNumberFormat="1" applyFont="1" applyBorder="1"/>
    <xf numFmtId="167" fontId="6" fillId="0" borderId="0" xfId="1" applyNumberFormat="1" applyFont="1"/>
    <xf numFmtId="0" fontId="5" fillId="0" borderId="0" xfId="0" applyFont="1" applyAlignment="1">
      <alignment horizontal="center"/>
    </xf>
    <xf numFmtId="167" fontId="6" fillId="0" borderId="5" xfId="1" applyNumberFormat="1" applyFont="1" applyFill="1" applyBorder="1"/>
    <xf numFmtId="3" fontId="5" fillId="0" borderId="6" xfId="0" applyNumberFormat="1" applyFont="1" applyBorder="1" applyAlignment="1">
      <alignment horizontal="center"/>
    </xf>
    <xf numFmtId="9" fontId="6" fillId="0" borderId="0" xfId="0" applyNumberFormat="1" applyFont="1" applyAlignment="1">
      <alignment horizontal="center"/>
    </xf>
    <xf numFmtId="165" fontId="6" fillId="0" borderId="0" xfId="0" applyNumberFormat="1" applyFont="1"/>
    <xf numFmtId="0" fontId="5" fillId="0" borderId="9" xfId="0" applyFont="1" applyBorder="1" applyAlignment="1">
      <alignment horizontal="left" indent="1"/>
    </xf>
    <xf numFmtId="0" fontId="5" fillId="3" borderId="18" xfId="0" applyFont="1" applyFill="1" applyBorder="1"/>
    <xf numFmtId="0" fontId="6" fillId="3" borderId="22" xfId="0" applyFont="1" applyFill="1" applyBorder="1" applyAlignment="1">
      <alignment horizontal="center"/>
    </xf>
    <xf numFmtId="38" fontId="5" fillId="3" borderId="22" xfId="1" applyNumberFormat="1" applyFont="1" applyFill="1" applyBorder="1" applyAlignment="1" applyProtection="1">
      <protection locked="0"/>
    </xf>
    <xf numFmtId="0" fontId="6" fillId="3" borderId="19" xfId="0" applyFont="1" applyFill="1" applyBorder="1" applyAlignment="1">
      <alignment horizontal="center"/>
    </xf>
    <xf numFmtId="167" fontId="6" fillId="0" borderId="3" xfId="1" applyNumberFormat="1" applyFont="1" applyBorder="1"/>
    <xf numFmtId="0" fontId="5" fillId="3" borderId="20" xfId="0" applyFont="1" applyFill="1" applyBorder="1"/>
    <xf numFmtId="0" fontId="6" fillId="3" borderId="23" xfId="0" applyFont="1" applyFill="1" applyBorder="1" applyAlignment="1">
      <alignment horizontal="center"/>
    </xf>
    <xf numFmtId="38" fontId="5" fillId="3" borderId="23" xfId="0" applyNumberFormat="1" applyFont="1" applyFill="1" applyBorder="1"/>
    <xf numFmtId="0" fontId="6" fillId="3" borderId="21" xfId="0" applyFont="1" applyFill="1" applyBorder="1" applyAlignment="1">
      <alignment horizontal="center"/>
    </xf>
    <xf numFmtId="167" fontId="17" fillId="0" borderId="2" xfId="1" applyNumberFormat="1" applyFont="1" applyBorder="1"/>
    <xf numFmtId="166" fontId="6" fillId="0" borderId="3" xfId="0" applyNumberFormat="1" applyFont="1" applyBorder="1"/>
    <xf numFmtId="167" fontId="17" fillId="0" borderId="0" xfId="1" applyNumberFormat="1" applyFont="1" applyBorder="1"/>
    <xf numFmtId="166" fontId="6" fillId="0" borderId="5" xfId="0" applyNumberFormat="1" applyFont="1" applyBorder="1"/>
    <xf numFmtId="167" fontId="17" fillId="0" borderId="6" xfId="1" applyNumberFormat="1" applyFont="1" applyBorder="1"/>
    <xf numFmtId="166" fontId="6" fillId="0" borderId="7" xfId="0" applyNumberFormat="1" applyFont="1" applyBorder="1"/>
    <xf numFmtId="167" fontId="5" fillId="3" borderId="6" xfId="1" applyNumberFormat="1" applyFont="1" applyFill="1" applyBorder="1"/>
    <xf numFmtId="166" fontId="5" fillId="3" borderId="7" xfId="0" applyNumberFormat="1" applyFont="1" applyFill="1" applyBorder="1"/>
    <xf numFmtId="0" fontId="6" fillId="0" borderId="12" xfId="0" applyFont="1" applyBorder="1"/>
    <xf numFmtId="0" fontId="6" fillId="0" borderId="0" xfId="4" applyFont="1"/>
    <xf numFmtId="0" fontId="22" fillId="5" borderId="11" xfId="0" applyFont="1" applyFill="1" applyBorder="1" applyAlignment="1" applyProtection="1">
      <alignment horizontal="center"/>
      <protection locked="0"/>
    </xf>
    <xf numFmtId="0" fontId="6" fillId="0" borderId="0" xfId="4" quotePrefix="1" applyFont="1" applyAlignment="1">
      <alignment horizontal="center"/>
    </xf>
    <xf numFmtId="171" fontId="30" fillId="0" borderId="0" xfId="0" applyNumberFormat="1" applyFont="1" applyAlignment="1" applyProtection="1">
      <alignment horizontal="center"/>
      <protection locked="0"/>
    </xf>
    <xf numFmtId="3" fontId="17" fillId="0" borderId="0" xfId="0" applyNumberFormat="1" applyFont="1" applyAlignment="1">
      <alignment horizontal="center"/>
    </xf>
    <xf numFmtId="38" fontId="14" fillId="0" borderId="0" xfId="0" applyNumberFormat="1" applyFont="1" applyProtection="1">
      <protection locked="0"/>
    </xf>
    <xf numFmtId="38" fontId="6" fillId="0" borderId="6" xfId="1" applyNumberFormat="1" applyFont="1" applyBorder="1" applyAlignment="1"/>
    <xf numFmtId="173" fontId="17" fillId="0" borderId="0" xfId="0" applyNumberFormat="1" applyFont="1" applyAlignment="1">
      <alignment horizontal="center"/>
    </xf>
    <xf numFmtId="166" fontId="17" fillId="0" borderId="0" xfId="0" applyNumberFormat="1" applyFont="1"/>
    <xf numFmtId="38" fontId="35" fillId="0" borderId="0" xfId="0" applyNumberFormat="1" applyFont="1"/>
    <xf numFmtId="0" fontId="36" fillId="0" borderId="0" xfId="4" applyFont="1"/>
    <xf numFmtId="0" fontId="37" fillId="0" borderId="0" xfId="4" applyFont="1"/>
    <xf numFmtId="0" fontId="37" fillId="8" borderId="0" xfId="4" applyFont="1" applyFill="1"/>
    <xf numFmtId="0" fontId="9" fillId="0" borderId="0" xfId="0" applyFont="1" applyAlignment="1">
      <alignment horizontal="right"/>
    </xf>
    <xf numFmtId="0" fontId="8" fillId="0" borderId="4" xfId="0" applyFont="1" applyBorder="1"/>
    <xf numFmtId="0" fontId="32" fillId="0" borderId="0" xfId="0" applyFont="1"/>
    <xf numFmtId="0" fontId="9" fillId="0" borderId="4" xfId="0" applyFont="1" applyBorder="1" applyAlignment="1">
      <alignment horizontal="right"/>
    </xf>
    <xf numFmtId="0" fontId="8" fillId="0" borderId="35" xfId="0" applyFont="1" applyBorder="1"/>
    <xf numFmtId="0" fontId="9" fillId="0" borderId="35" xfId="0" applyFont="1" applyBorder="1" applyAlignment="1">
      <alignment horizontal="right"/>
    </xf>
    <xf numFmtId="0" fontId="43" fillId="0" borderId="0" xfId="0" applyFont="1"/>
    <xf numFmtId="0" fontId="44" fillId="0" borderId="0" xfId="0" applyFont="1"/>
    <xf numFmtId="43" fontId="43" fillId="0" borderId="0" xfId="1" applyFont="1" applyBorder="1"/>
    <xf numFmtId="0" fontId="43" fillId="9" borderId="0" xfId="0" applyFont="1" applyFill="1"/>
    <xf numFmtId="43" fontId="43" fillId="9" borderId="0" xfId="1" applyFont="1" applyFill="1" applyBorder="1"/>
    <xf numFmtId="166" fontId="24" fillId="0" borderId="5" xfId="3" applyNumberFormat="1" applyFont="1" applyBorder="1"/>
    <xf numFmtId="176" fontId="3" fillId="0" borderId="5" xfId="0" applyNumberFormat="1" applyFont="1" applyBorder="1" applyAlignment="1">
      <alignment horizontal="center"/>
    </xf>
    <xf numFmtId="176" fontId="28" fillId="0" borderId="11" xfId="0" applyNumberFormat="1" applyFont="1" applyBorder="1" applyAlignment="1">
      <alignment horizontal="center"/>
    </xf>
    <xf numFmtId="10" fontId="5" fillId="8" borderId="29" xfId="0" applyNumberFormat="1" applyFont="1" applyFill="1" applyBorder="1" applyProtection="1">
      <protection locked="0"/>
    </xf>
    <xf numFmtId="9" fontId="6" fillId="0" borderId="0" xfId="3" applyFont="1" applyFill="1" applyBorder="1" applyAlignment="1">
      <alignment horizontal="center"/>
    </xf>
    <xf numFmtId="0" fontId="6" fillId="0" borderId="36" xfId="0" applyFont="1" applyBorder="1"/>
    <xf numFmtId="1" fontId="6" fillId="0" borderId="0" xfId="0" applyNumberFormat="1" applyFont="1" applyAlignment="1">
      <alignment horizontal="center"/>
    </xf>
    <xf numFmtId="0" fontId="0" fillId="0" borderId="40" xfId="0" applyBorder="1"/>
    <xf numFmtId="0" fontId="0" fillId="0" borderId="41" xfId="0" applyBorder="1"/>
    <xf numFmtId="1" fontId="6" fillId="0" borderId="16" xfId="0" applyNumberFormat="1" applyFont="1" applyBorder="1" applyAlignment="1">
      <alignment horizontal="center"/>
    </xf>
    <xf numFmtId="0" fontId="4" fillId="11" borderId="42" xfId="0" applyFont="1" applyFill="1" applyBorder="1"/>
    <xf numFmtId="0" fontId="4" fillId="11" borderId="43" xfId="0" applyFont="1" applyFill="1" applyBorder="1"/>
    <xf numFmtId="43" fontId="0" fillId="0" borderId="0" xfId="1" applyFont="1"/>
    <xf numFmtId="0" fontId="6" fillId="0" borderId="17" xfId="0" applyFont="1" applyBorder="1" applyAlignment="1">
      <alignment horizontal="center"/>
    </xf>
    <xf numFmtId="10" fontId="6" fillId="0" borderId="5" xfId="0" applyNumberFormat="1" applyFont="1" applyBorder="1"/>
    <xf numFmtId="0" fontId="6" fillId="0" borderId="46" xfId="0" applyFont="1" applyBorder="1"/>
    <xf numFmtId="0" fontId="6" fillId="0" borderId="34" xfId="0" applyFont="1" applyBorder="1" applyAlignment="1">
      <alignment horizontal="left" indent="1"/>
    </xf>
    <xf numFmtId="9" fontId="6" fillId="0" borderId="6" xfId="3" applyFont="1" applyFill="1" applyBorder="1" applyAlignment="1">
      <alignment horizontal="center"/>
    </xf>
    <xf numFmtId="9" fontId="6" fillId="0" borderId="47" xfId="3" applyFont="1" applyFill="1" applyBorder="1"/>
    <xf numFmtId="8" fontId="6" fillId="0" borderId="0" xfId="0" applyNumberFormat="1" applyFont="1" applyAlignment="1">
      <alignment horizontal="center"/>
    </xf>
    <xf numFmtId="0" fontId="4" fillId="0" borderId="0" xfId="12"/>
    <xf numFmtId="0" fontId="4" fillId="10" borderId="0" xfId="12" applyFill="1"/>
    <xf numFmtId="0" fontId="4" fillId="10" borderId="1" xfId="12" applyFill="1" applyBorder="1"/>
    <xf numFmtId="0" fontId="4" fillId="10" borderId="2" xfId="12" applyFill="1" applyBorder="1"/>
    <xf numFmtId="0" fontId="4" fillId="10" borderId="3" xfId="12" applyFill="1" applyBorder="1"/>
    <xf numFmtId="0" fontId="4" fillId="10" borderId="4" xfId="12" applyFill="1" applyBorder="1"/>
    <xf numFmtId="0" fontId="4" fillId="10" borderId="5" xfId="12" applyFill="1" applyBorder="1"/>
    <xf numFmtId="0" fontId="37" fillId="10" borderId="4" xfId="12" applyFont="1" applyFill="1" applyBorder="1" applyAlignment="1">
      <alignment horizontal="center"/>
    </xf>
    <xf numFmtId="0" fontId="37" fillId="10" borderId="0" xfId="12" applyFont="1" applyFill="1" applyAlignment="1">
      <alignment horizontal="center"/>
    </xf>
    <xf numFmtId="0" fontId="37" fillId="10" borderId="5" xfId="12" applyFont="1" applyFill="1" applyBorder="1" applyAlignment="1">
      <alignment horizontal="center"/>
    </xf>
    <xf numFmtId="0" fontId="48" fillId="10" borderId="4" xfId="12" applyFont="1" applyFill="1" applyBorder="1" applyAlignment="1">
      <alignment horizontal="center"/>
    </xf>
    <xf numFmtId="0" fontId="49" fillId="10" borderId="0" xfId="12" applyFont="1" applyFill="1" applyAlignment="1">
      <alignment horizontal="center"/>
    </xf>
    <xf numFmtId="0" fontId="49" fillId="10" borderId="5" xfId="12" applyFont="1" applyFill="1" applyBorder="1" applyAlignment="1">
      <alignment horizontal="center"/>
    </xf>
    <xf numFmtId="0" fontId="7" fillId="10" borderId="0" xfId="12" applyFont="1" applyFill="1"/>
    <xf numFmtId="0" fontId="7" fillId="10" borderId="0" xfId="12" applyFont="1" applyFill="1" applyAlignment="1">
      <alignment horizontal="left"/>
    </xf>
    <xf numFmtId="177" fontId="7" fillId="10" borderId="0" xfId="12" applyNumberFormat="1" applyFont="1" applyFill="1" applyAlignment="1">
      <alignment horizontal="left"/>
    </xf>
    <xf numFmtId="0" fontId="20" fillId="10" borderId="0" xfId="12" applyFont="1" applyFill="1"/>
    <xf numFmtId="0" fontId="18" fillId="10" borderId="0" xfId="12" applyFont="1" applyFill="1"/>
    <xf numFmtId="0" fontId="4" fillId="10" borderId="8" xfId="12" applyFill="1" applyBorder="1"/>
    <xf numFmtId="0" fontId="4" fillId="10" borderId="6" xfId="12" applyFill="1" applyBorder="1"/>
    <xf numFmtId="0" fontId="4" fillId="10" borderId="7" xfId="12" applyFill="1" applyBorder="1"/>
    <xf numFmtId="0" fontId="39" fillId="10" borderId="4" xfId="0" applyFont="1" applyFill="1" applyBorder="1" applyAlignment="1">
      <alignment horizontal="center" vertical="center"/>
    </xf>
    <xf numFmtId="0" fontId="39" fillId="10" borderId="0" xfId="0" applyFont="1" applyFill="1" applyAlignment="1">
      <alignment horizontal="center" vertical="center"/>
    </xf>
    <xf numFmtId="0" fontId="0" fillId="10" borderId="0" xfId="0" applyFill="1"/>
    <xf numFmtId="0" fontId="16" fillId="10" borderId="0" xfId="0" applyFont="1" applyFill="1" applyAlignment="1">
      <alignment horizontal="left"/>
    </xf>
    <xf numFmtId="3" fontId="16" fillId="10" borderId="0" xfId="0" applyNumberFormat="1" applyFont="1" applyFill="1" applyAlignment="1">
      <alignment horizontal="left"/>
    </xf>
    <xf numFmtId="2" fontId="16" fillId="10" borderId="0" xfId="0" applyNumberFormat="1" applyFont="1" applyFill="1" applyAlignment="1">
      <alignment horizontal="left"/>
    </xf>
    <xf numFmtId="0" fontId="36" fillId="0" borderId="51" xfId="4" applyFont="1" applyBorder="1"/>
    <xf numFmtId="0" fontId="4" fillId="0" borderId="52" xfId="4" applyBorder="1"/>
    <xf numFmtId="0" fontId="51" fillId="0" borderId="51" xfId="4" applyFont="1" applyBorder="1"/>
    <xf numFmtId="0" fontId="51" fillId="0" borderId="0" xfId="4" applyFont="1"/>
    <xf numFmtId="0" fontId="31" fillId="0" borderId="0" xfId="4" applyFont="1"/>
    <xf numFmtId="0" fontId="52" fillId="0" borderId="0" xfId="4" applyFont="1"/>
    <xf numFmtId="0" fontId="53" fillId="0" borderId="51" xfId="4" applyFont="1" applyBorder="1"/>
    <xf numFmtId="0" fontId="53" fillId="0" borderId="0" xfId="4" applyFont="1"/>
    <xf numFmtId="0" fontId="54" fillId="0" borderId="0" xfId="4" applyFont="1"/>
    <xf numFmtId="0" fontId="55" fillId="0" borderId="0" xfId="4" applyFont="1"/>
    <xf numFmtId="0" fontId="18" fillId="0" borderId="0" xfId="4" applyFont="1"/>
    <xf numFmtId="0" fontId="56" fillId="0" borderId="53" xfId="4" applyFont="1" applyBorder="1"/>
    <xf numFmtId="0" fontId="57" fillId="0" borderId="54" xfId="4" applyFont="1" applyBorder="1"/>
    <xf numFmtId="0" fontId="4" fillId="0" borderId="54" xfId="4" applyBorder="1"/>
    <xf numFmtId="0" fontId="4" fillId="0" borderId="55" xfId="4" applyBorder="1"/>
    <xf numFmtId="0" fontId="58" fillId="0" borderId="0" xfId="4" applyFont="1"/>
    <xf numFmtId="0" fontId="59" fillId="0" borderId="0" xfId="4" applyFont="1"/>
    <xf numFmtId="0" fontId="4" fillId="0" borderId="51" xfId="4" applyBorder="1" applyAlignment="1">
      <alignment horizontal="left"/>
    </xf>
    <xf numFmtId="0" fontId="18" fillId="0" borderId="51" xfId="4" applyFont="1" applyBorder="1" applyAlignment="1">
      <alignment horizontal="left"/>
    </xf>
    <xf numFmtId="0" fontId="4" fillId="0" borderId="53" xfId="4" applyBorder="1" applyAlignment="1">
      <alignment horizontal="left"/>
    </xf>
    <xf numFmtId="0" fontId="60" fillId="12" borderId="59" xfId="4" applyFont="1" applyFill="1" applyBorder="1"/>
    <xf numFmtId="0" fontId="60" fillId="12" borderId="0" xfId="4" applyFont="1" applyFill="1"/>
    <xf numFmtId="43" fontId="61" fillId="12" borderId="0" xfId="1" applyFont="1" applyFill="1" applyBorder="1" applyProtection="1">
      <protection locked="0"/>
    </xf>
    <xf numFmtId="0" fontId="37" fillId="12" borderId="0" xfId="4" applyFont="1" applyFill="1"/>
    <xf numFmtId="0" fontId="37" fillId="12" borderId="60" xfId="4" applyFont="1" applyFill="1" applyBorder="1"/>
    <xf numFmtId="0" fontId="60" fillId="8" borderId="59" xfId="4" applyFont="1" applyFill="1" applyBorder="1"/>
    <xf numFmtId="0" fontId="60" fillId="8" borderId="0" xfId="4" applyFont="1" applyFill="1"/>
    <xf numFmtId="43" fontId="61" fillId="8" borderId="0" xfId="1" applyFont="1" applyFill="1" applyBorder="1" applyProtection="1">
      <protection locked="0"/>
    </xf>
    <xf numFmtId="0" fontId="37" fillId="8" borderId="60" xfId="4" applyFont="1" applyFill="1" applyBorder="1"/>
    <xf numFmtId="0" fontId="60" fillId="10" borderId="61" xfId="4" applyFont="1" applyFill="1" applyBorder="1"/>
    <xf numFmtId="0" fontId="60" fillId="10" borderId="62" xfId="4" applyFont="1" applyFill="1" applyBorder="1"/>
    <xf numFmtId="0" fontId="4" fillId="10" borderId="62" xfId="4" applyFill="1" applyBorder="1"/>
    <xf numFmtId="0" fontId="4" fillId="10" borderId="63" xfId="4" applyFill="1" applyBorder="1"/>
    <xf numFmtId="0" fontId="56" fillId="0" borderId="54" xfId="4" applyFont="1" applyBorder="1"/>
    <xf numFmtId="0" fontId="6" fillId="8" borderId="37" xfId="0" applyFont="1" applyFill="1" applyBorder="1"/>
    <xf numFmtId="166" fontId="6" fillId="8" borderId="37" xfId="0" applyNumberFormat="1" applyFont="1" applyFill="1" applyBorder="1"/>
    <xf numFmtId="170" fontId="6" fillId="8" borderId="37" xfId="0" applyNumberFormat="1" applyFont="1" applyFill="1" applyBorder="1"/>
    <xf numFmtId="1" fontId="6" fillId="8" borderId="44" xfId="0" applyNumberFormat="1" applyFont="1" applyFill="1" applyBorder="1"/>
    <xf numFmtId="9" fontId="6" fillId="8" borderId="38" xfId="3" applyFont="1" applyFill="1" applyBorder="1" applyProtection="1">
      <protection locked="0"/>
    </xf>
    <xf numFmtId="9" fontId="6" fillId="8" borderId="37" xfId="0" applyNumberFormat="1" applyFont="1" applyFill="1" applyBorder="1" applyProtection="1">
      <protection locked="0"/>
    </xf>
    <xf numFmtId="167" fontId="6" fillId="8" borderId="37" xfId="1" applyNumberFormat="1" applyFont="1" applyFill="1" applyBorder="1"/>
    <xf numFmtId="167" fontId="6" fillId="8" borderId="45" xfId="1" applyNumberFormat="1" applyFont="1" applyFill="1" applyBorder="1"/>
    <xf numFmtId="9" fontId="6" fillId="8" borderId="31" xfId="0" applyNumberFormat="1" applyFont="1" applyFill="1" applyBorder="1" applyAlignment="1">
      <alignment horizontal="center"/>
    </xf>
    <xf numFmtId="9" fontId="6" fillId="8" borderId="30" xfId="0" applyNumberFormat="1" applyFont="1" applyFill="1" applyBorder="1" applyAlignment="1">
      <alignment horizontal="center"/>
    </xf>
    <xf numFmtId="9" fontId="6" fillId="8" borderId="32" xfId="0" applyNumberFormat="1" applyFont="1" applyFill="1" applyBorder="1" applyAlignment="1">
      <alignment horizontal="center"/>
    </xf>
    <xf numFmtId="171" fontId="24" fillId="0" borderId="3" xfId="0" applyNumberFormat="1" applyFont="1" applyBorder="1"/>
    <xf numFmtId="0" fontId="38" fillId="0" borderId="4" xfId="0" applyFont="1" applyBorder="1"/>
    <xf numFmtId="0" fontId="38" fillId="0" borderId="0" xfId="0" applyFont="1"/>
    <xf numFmtId="0" fontId="38" fillId="0" borderId="35" xfId="0" applyFont="1" applyBorder="1"/>
    <xf numFmtId="0" fontId="5" fillId="0" borderId="15" xfId="0" applyFont="1" applyBorder="1"/>
    <xf numFmtId="0" fontId="5" fillId="0" borderId="37" xfId="0" applyFont="1" applyBorder="1" applyAlignment="1">
      <alignment horizontal="right"/>
    </xf>
    <xf numFmtId="0" fontId="6" fillId="8" borderId="37" xfId="0" applyFont="1" applyFill="1" applyBorder="1" applyProtection="1">
      <protection locked="0"/>
    </xf>
    <xf numFmtId="0" fontId="6" fillId="0" borderId="13" xfId="0" applyFont="1" applyBorder="1"/>
    <xf numFmtId="0" fontId="6" fillId="8" borderId="36" xfId="0" applyFont="1" applyFill="1" applyBorder="1" applyProtection="1">
      <protection locked="0"/>
    </xf>
    <xf numFmtId="0" fontId="6" fillId="8" borderId="45" xfId="0" applyFont="1" applyFill="1" applyBorder="1"/>
    <xf numFmtId="9" fontId="6" fillId="8" borderId="37" xfId="0" applyNumberFormat="1" applyFont="1" applyFill="1" applyBorder="1"/>
    <xf numFmtId="0" fontId="5" fillId="0" borderId="46" xfId="0" applyFont="1" applyBorder="1"/>
    <xf numFmtId="0" fontId="5" fillId="0" borderId="17" xfId="0" applyFont="1" applyBorder="1" applyAlignment="1">
      <alignment horizontal="center"/>
    </xf>
    <xf numFmtId="0" fontId="5" fillId="0" borderId="45" xfId="0" applyFont="1" applyBorder="1" applyAlignment="1">
      <alignment horizontal="right"/>
    </xf>
    <xf numFmtId="9" fontId="6" fillId="8" borderId="45" xfId="0" applyNumberFormat="1" applyFont="1" applyFill="1" applyBorder="1"/>
    <xf numFmtId="38" fontId="6" fillId="0" borderId="65" xfId="0" applyNumberFormat="1" applyFont="1" applyBorder="1"/>
    <xf numFmtId="40" fontId="6" fillId="0" borderId="65" xfId="0" applyNumberFormat="1" applyFont="1" applyBorder="1"/>
    <xf numFmtId="166" fontId="6" fillId="0" borderId="66" xfId="3" applyNumberFormat="1" applyFont="1" applyFill="1" applyBorder="1"/>
    <xf numFmtId="38" fontId="6" fillId="16" borderId="64" xfId="1" applyNumberFormat="1" applyFont="1" applyFill="1" applyBorder="1" applyProtection="1">
      <protection locked="0"/>
    </xf>
    <xf numFmtId="38" fontId="6" fillId="16" borderId="65" xfId="1" applyNumberFormat="1" applyFont="1" applyFill="1" applyBorder="1" applyProtection="1">
      <protection locked="0"/>
    </xf>
    <xf numFmtId="38" fontId="6" fillId="16" borderId="66" xfId="1" applyNumberFormat="1" applyFont="1" applyFill="1" applyBorder="1" applyProtection="1">
      <protection locked="0"/>
    </xf>
    <xf numFmtId="38" fontId="5" fillId="0" borderId="66" xfId="0" applyNumberFormat="1" applyFont="1" applyBorder="1"/>
    <xf numFmtId="0" fontId="63" fillId="3" borderId="64" xfId="0" applyFont="1" applyFill="1" applyBorder="1"/>
    <xf numFmtId="0" fontId="6" fillId="3" borderId="11" xfId="0" applyFont="1" applyFill="1" applyBorder="1" applyAlignment="1">
      <alignment horizontal="right"/>
    </xf>
    <xf numFmtId="164" fontId="6" fillId="0" borderId="0" xfId="4" applyNumberFormat="1" applyFont="1" applyAlignment="1">
      <alignment horizontal="center"/>
    </xf>
    <xf numFmtId="38" fontId="6" fillId="4" borderId="6" xfId="0" applyNumberFormat="1" applyFont="1" applyFill="1" applyBorder="1"/>
    <xf numFmtId="0" fontId="37" fillId="10" borderId="4" xfId="12" applyFont="1" applyFill="1" applyBorder="1" applyAlignment="1">
      <alignment horizontal="center"/>
    </xf>
    <xf numFmtId="0" fontId="37" fillId="10" borderId="0" xfId="12" applyFont="1" applyFill="1" applyAlignment="1">
      <alignment horizontal="center"/>
    </xf>
    <xf numFmtId="0" fontId="37" fillId="10" borderId="5" xfId="12" applyFont="1" applyFill="1" applyBorder="1" applyAlignment="1">
      <alignment horizontal="center"/>
    </xf>
    <xf numFmtId="0" fontId="46" fillId="10" borderId="4" xfId="12" applyFont="1" applyFill="1" applyBorder="1" applyAlignment="1">
      <alignment horizontal="center"/>
    </xf>
    <xf numFmtId="0" fontId="47" fillId="10" borderId="0" xfId="12" applyFont="1" applyFill="1" applyAlignment="1">
      <alignment horizontal="center"/>
    </xf>
    <xf numFmtId="0" fontId="47" fillId="10" borderId="5" xfId="12" applyFont="1" applyFill="1" applyBorder="1" applyAlignment="1">
      <alignment horizontal="center"/>
    </xf>
    <xf numFmtId="0" fontId="46" fillId="10" borderId="0" xfId="12" applyFont="1" applyFill="1" applyAlignment="1">
      <alignment horizontal="center"/>
    </xf>
    <xf numFmtId="0" fontId="46" fillId="10" borderId="5" xfId="12" applyFont="1" applyFill="1" applyBorder="1" applyAlignment="1">
      <alignment horizontal="center"/>
    </xf>
    <xf numFmtId="177" fontId="7" fillId="10" borderId="0" xfId="12" applyNumberFormat="1" applyFont="1" applyFill="1" applyAlignment="1">
      <alignment horizontal="left"/>
    </xf>
    <xf numFmtId="0" fontId="39" fillId="13" borderId="9" xfId="0" applyFont="1" applyFill="1" applyBorder="1" applyAlignment="1">
      <alignment horizontal="center" vertical="center"/>
    </xf>
    <xf numFmtId="0" fontId="39" fillId="13" borderId="10" xfId="0" applyFont="1" applyFill="1" applyBorder="1" applyAlignment="1">
      <alignment horizontal="center" vertical="center"/>
    </xf>
    <xf numFmtId="0" fontId="38" fillId="14" borderId="9" xfId="12" applyFont="1" applyFill="1" applyBorder="1" applyAlignment="1">
      <alignment horizontal="center"/>
    </xf>
    <xf numFmtId="0" fontId="38" fillId="14" borderId="10" xfId="12" applyFont="1" applyFill="1" applyBorder="1" applyAlignment="1">
      <alignment horizontal="center"/>
    </xf>
    <xf numFmtId="0" fontId="38" fillId="14" borderId="11" xfId="12" applyFont="1" applyFill="1" applyBorder="1" applyAlignment="1">
      <alignment horizontal="center"/>
    </xf>
    <xf numFmtId="0" fontId="62" fillId="17" borderId="1" xfId="13" applyFont="1" applyFill="1" applyBorder="1" applyAlignment="1">
      <alignment horizontal="center" vertical="center"/>
    </xf>
    <xf numFmtId="0" fontId="62" fillId="17" borderId="2" xfId="13" applyFont="1" applyFill="1" applyBorder="1" applyAlignment="1">
      <alignment horizontal="center" vertical="center"/>
    </xf>
    <xf numFmtId="0" fontId="62" fillId="17" borderId="3" xfId="13" applyFont="1" applyFill="1" applyBorder="1" applyAlignment="1">
      <alignment horizontal="center" vertical="center"/>
    </xf>
    <xf numFmtId="0" fontId="62" fillId="17" borderId="4" xfId="13" applyFont="1" applyFill="1" applyBorder="1" applyAlignment="1">
      <alignment horizontal="center" vertical="center"/>
    </xf>
    <xf numFmtId="0" fontId="62" fillId="17" borderId="0" xfId="13" applyFont="1" applyFill="1" applyBorder="1" applyAlignment="1">
      <alignment horizontal="center" vertical="center"/>
    </xf>
    <xf numFmtId="0" fontId="62" fillId="17" borderId="5" xfId="13" applyFont="1" applyFill="1" applyBorder="1" applyAlignment="1">
      <alignment horizontal="center" vertical="center"/>
    </xf>
    <xf numFmtId="0" fontId="62" fillId="17" borderId="8" xfId="13" applyFont="1" applyFill="1" applyBorder="1" applyAlignment="1">
      <alignment horizontal="center" vertical="center"/>
    </xf>
    <xf numFmtId="0" fontId="62" fillId="17" borderId="6" xfId="13" applyFont="1" applyFill="1" applyBorder="1" applyAlignment="1">
      <alignment horizontal="center" vertical="center"/>
    </xf>
    <xf numFmtId="0" fontId="62" fillId="17" borderId="7" xfId="13" applyFont="1" applyFill="1" applyBorder="1" applyAlignment="1">
      <alignment horizontal="center" vertical="center"/>
    </xf>
    <xf numFmtId="0" fontId="50" fillId="15" borderId="48" xfId="4" applyFont="1" applyFill="1" applyBorder="1" applyAlignment="1">
      <alignment horizontal="center"/>
    </xf>
    <xf numFmtId="0" fontId="50" fillId="15" borderId="49" xfId="4" applyFont="1" applyFill="1" applyBorder="1" applyAlignment="1">
      <alignment horizontal="center"/>
    </xf>
    <xf numFmtId="0" fontId="50" fillId="15" borderId="50" xfId="4" applyFont="1" applyFill="1" applyBorder="1" applyAlignment="1">
      <alignment horizontal="center"/>
    </xf>
    <xf numFmtId="0" fontId="50" fillId="15" borderId="56" xfId="4" applyFont="1" applyFill="1" applyBorder="1" applyAlignment="1">
      <alignment horizontal="center"/>
    </xf>
    <xf numFmtId="0" fontId="50" fillId="15" borderId="57" xfId="4" applyFont="1" applyFill="1" applyBorder="1" applyAlignment="1">
      <alignment horizontal="center"/>
    </xf>
    <xf numFmtId="0" fontId="50" fillId="15" borderId="58" xfId="4" applyFont="1" applyFill="1" applyBorder="1" applyAlignment="1">
      <alignment horizontal="center"/>
    </xf>
    <xf numFmtId="0" fontId="5" fillId="0" borderId="39" xfId="0" applyFont="1" applyBorder="1"/>
    <xf numFmtId="0" fontId="5" fillId="0" borderId="40" xfId="0" applyFont="1" applyBorder="1"/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44" fillId="0" borderId="0" xfId="0" applyFont="1" applyAlignment="1">
      <alignment horizontal="center"/>
    </xf>
  </cellXfs>
  <cellStyles count="14">
    <cellStyle name="Comma" xfId="1" builtinId="3"/>
    <cellStyle name="Comma 2" xfId="6" xr:uid="{00000000-0005-0000-0000-000001000000}"/>
    <cellStyle name="Comma 2 2" xfId="10" xr:uid="{00000000-0005-0000-0000-000002000000}"/>
    <cellStyle name="Heading 4" xfId="2" builtinId="19" customBuiltin="1"/>
    <cellStyle name="Heading 4 2" xfId="8" xr:uid="{00000000-0005-0000-0000-000004000000}"/>
    <cellStyle name="Hyperlink" xfId="13" builtinId="8"/>
    <cellStyle name="Normal" xfId="0" builtinId="0"/>
    <cellStyle name="Normal 10" xfId="12" xr:uid="{7F7CBFBA-CFEB-4572-8F7B-9D682CA90CE5}"/>
    <cellStyle name="Normal 2" xfId="4" xr:uid="{00000000-0005-0000-0000-000006000000}"/>
    <cellStyle name="Normal 3" xfId="5" xr:uid="{00000000-0005-0000-0000-000007000000}"/>
    <cellStyle name="Normal 3 2" xfId="9" xr:uid="{00000000-0005-0000-0000-000008000000}"/>
    <cellStyle name="Percent" xfId="3" builtinId="5"/>
    <cellStyle name="Percent 2" xfId="7" xr:uid="{00000000-0005-0000-0000-00000B000000}"/>
    <cellStyle name="Percent 2 2" xfId="11" xr:uid="{00000000-0005-0000-0000-00000C000000}"/>
  </cellStyles>
  <dxfs count="2">
    <dxf>
      <fill>
        <patternFill>
          <bgColor rgb="FF00B0F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1F2610"/>
      <color rgb="FF495925"/>
      <color rgb="FF00FF00"/>
      <color rgb="FFDAEEF3"/>
      <color rgb="FFFF0000"/>
      <color rgb="FF0000FF"/>
      <color rgb="FFFF9696"/>
      <color rgb="FFFFFF96"/>
      <color rgb="FFFFC8C8"/>
      <color rgb="FF96FF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387349</xdr:colOff>
      <xdr:row>4</xdr:row>
      <xdr:rowOff>25400</xdr:rowOff>
    </xdr:from>
    <xdr:to>
      <xdr:col>9</xdr:col>
      <xdr:colOff>164392</xdr:colOff>
      <xdr:row>14</xdr:row>
      <xdr:rowOff>44450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1B6A44-02C4-4543-960D-818E0B827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49" y="660400"/>
          <a:ext cx="3536243" cy="16065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95250</xdr:colOff>
      <xdr:row>36</xdr:row>
      <xdr:rowOff>128092</xdr:rowOff>
    </xdr:from>
    <xdr:to>
      <xdr:col>12</xdr:col>
      <xdr:colOff>374650</xdr:colOff>
      <xdr:row>41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283FBE-F809-42B9-804C-1A67FC4C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0" y="6535242"/>
          <a:ext cx="1181100" cy="792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375709</xdr:colOff>
      <xdr:row>2</xdr:row>
      <xdr:rowOff>195792</xdr:rowOff>
    </xdr:from>
    <xdr:to>
      <xdr:col>10</xdr:col>
      <xdr:colOff>595613</xdr:colOff>
      <xdr:row>6</xdr:row>
      <xdr:rowOff>156104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1D6DC-DEEB-478D-BCA1-CF2C7B53D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542" y="777875"/>
          <a:ext cx="4664904" cy="2119312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0</xdr:row>
          <xdr:rowOff>85725</xdr:rowOff>
        </xdr:from>
        <xdr:to>
          <xdr:col>3</xdr:col>
          <xdr:colOff>609600</xdr:colOff>
          <xdr:row>2</xdr:row>
          <xdr:rowOff>76200</xdr:rowOff>
        </xdr:to>
        <xdr:sp macro="" textlink="">
          <xdr:nvSpPr>
            <xdr:cNvPr id="2719745" name="Button 1" hidden="1">
              <a:extLst>
                <a:ext uri="{63B3BB69-23CF-44E3-9099-C40C66FF867C}">
                  <a14:compatExt spid="_x0000_s2719745"/>
                </a:ext>
                <a:ext uri="{FF2B5EF4-FFF2-40B4-BE49-F238E27FC236}">
                  <a16:creationId xmlns:a16="http://schemas.microsoft.com/office/drawing/2014/main" id="{00000000-0008-0000-0200-000001802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Go To Control Page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285750</xdr:colOff>
          <xdr:row>8</xdr:row>
          <xdr:rowOff>133350</xdr:rowOff>
        </xdr:from>
        <xdr:to>
          <xdr:col>10</xdr:col>
          <xdr:colOff>314325</xdr:colOff>
          <xdr:row>15</xdr:row>
          <xdr:rowOff>9525</xdr:rowOff>
        </xdr:to>
        <xdr:sp macro="" textlink="">
          <xdr:nvSpPr>
            <xdr:cNvPr id="2716673" name="Button 1" hidden="1">
              <a:extLst>
                <a:ext uri="{63B3BB69-23CF-44E3-9099-C40C66FF867C}">
                  <a14:compatExt spid="_x0000_s2716673"/>
                </a:ext>
                <a:ext uri="{FF2B5EF4-FFF2-40B4-BE49-F238E27FC236}">
                  <a16:creationId xmlns:a16="http://schemas.microsoft.com/office/drawing/2014/main" id="{00000000-0008-0000-0300-000001742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Update Gen Prices Variable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114300</xdr:rowOff>
        </xdr:from>
        <xdr:to>
          <xdr:col>2</xdr:col>
          <xdr:colOff>466725</xdr:colOff>
          <xdr:row>2</xdr:row>
          <xdr:rowOff>104775</xdr:rowOff>
        </xdr:to>
        <xdr:sp macro="" textlink="">
          <xdr:nvSpPr>
            <xdr:cNvPr id="2716676" name="Button 4" hidden="1">
              <a:extLst>
                <a:ext uri="{63B3BB69-23CF-44E3-9099-C40C66FF867C}">
                  <a14:compatExt spid="_x0000_s2716676"/>
                </a:ext>
                <a:ext uri="{FF2B5EF4-FFF2-40B4-BE49-F238E27FC236}">
                  <a16:creationId xmlns:a16="http://schemas.microsoft.com/office/drawing/2014/main" id="{00000000-0008-0000-0300-000004742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Go To Control Page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10</xdr:row>
          <xdr:rowOff>47625</xdr:rowOff>
        </xdr:from>
        <xdr:to>
          <xdr:col>6</xdr:col>
          <xdr:colOff>514350</xdr:colOff>
          <xdr:row>14</xdr:row>
          <xdr:rowOff>28575</xdr:rowOff>
        </xdr:to>
        <xdr:sp macro="" textlink="">
          <xdr:nvSpPr>
            <xdr:cNvPr id="2683911" name="Button 7" hidden="1">
              <a:extLst>
                <a:ext uri="{63B3BB69-23CF-44E3-9099-C40C66FF867C}">
                  <a14:compatExt spid="_x0000_s2683911"/>
                </a:ext>
                <a:ext uri="{FF2B5EF4-FFF2-40B4-BE49-F238E27FC236}">
                  <a16:creationId xmlns:a16="http://schemas.microsoft.com/office/drawing/2014/main" id="{00000000-0008-0000-0400-000007F42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Calculate for the given </a:t>
              </a:r>
            </a:p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(single) set of inputs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914400</xdr:colOff>
          <xdr:row>0</xdr:row>
          <xdr:rowOff>161925</xdr:rowOff>
        </xdr:from>
        <xdr:to>
          <xdr:col>10</xdr:col>
          <xdr:colOff>9525</xdr:colOff>
          <xdr:row>2</xdr:row>
          <xdr:rowOff>76200</xdr:rowOff>
        </xdr:to>
        <xdr:sp macro="" textlink="">
          <xdr:nvSpPr>
            <xdr:cNvPr id="2683931" name="Button 27" hidden="1">
              <a:extLst>
                <a:ext uri="{63B3BB69-23CF-44E3-9099-C40C66FF867C}">
                  <a14:compatExt spid="_x0000_s2683931"/>
                </a:ext>
                <a:ext uri="{FF2B5EF4-FFF2-40B4-BE49-F238E27FC236}">
                  <a16:creationId xmlns:a16="http://schemas.microsoft.com/office/drawing/2014/main" id="{00000000-0008-0000-0400-00001BF42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Go To Control Page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0</xdr:row>
          <xdr:rowOff>76200</xdr:rowOff>
        </xdr:from>
        <xdr:to>
          <xdr:col>2</xdr:col>
          <xdr:colOff>857250</xdr:colOff>
          <xdr:row>2</xdr:row>
          <xdr:rowOff>76200</xdr:rowOff>
        </xdr:to>
        <xdr:sp macro="" textlink="">
          <xdr:nvSpPr>
            <xdr:cNvPr id="7243" name="Button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5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80"/>
                  </a:solidFill>
                  <a:latin typeface="Arial"/>
                  <a:cs typeface="Arial"/>
                </a:rPr>
                <a:t>Update Wholesale Contract Prices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904875</xdr:colOff>
          <xdr:row>0</xdr:row>
          <xdr:rowOff>85725</xdr:rowOff>
        </xdr:from>
        <xdr:to>
          <xdr:col>2</xdr:col>
          <xdr:colOff>2057400</xdr:colOff>
          <xdr:row>2</xdr:row>
          <xdr:rowOff>76200</xdr:rowOff>
        </xdr:to>
        <xdr:sp macro="" textlink="">
          <xdr:nvSpPr>
            <xdr:cNvPr id="7245" name="Button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5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Go To Control Page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S2R\State%20Related%20Works%20and%20Issues\Enugu\EERC%20Draft%20Tariff%20Model%20V3.xlsm" TargetMode="External"/><Relationship Id="rId1" Type="http://schemas.openxmlformats.org/officeDocument/2006/relationships/externalLinkPath" Target="file:///G:\My%20Drive\S2R\State%20Related%20Works%20and%20Issues\Enugu\EERC%20Draft%20Tariff%20Model%20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Page"/>
      <sheetName val="Control"/>
      <sheetName val="User Guide"/>
      <sheetName val="-Input--&gt;"/>
      <sheetName val="Input Data"/>
      <sheetName val="Regulatory Asset Base"/>
      <sheetName val="Regulated OPEX"/>
      <sheetName val="-Calculations--&gt;"/>
      <sheetName val="Gen and Trans"/>
      <sheetName val="Asset Depreciation"/>
      <sheetName val="Tariff Calculation"/>
      <sheetName val="Tari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AD4F-39B1-4FA8-B4E9-E6F720517D58}">
  <sheetPr codeName="Sheet15"/>
  <dimension ref="A1:IS58"/>
  <sheetViews>
    <sheetView showGridLines="0" zoomScaleNormal="100" workbookViewId="0">
      <selection activeCell="G23" sqref="G23"/>
    </sheetView>
  </sheetViews>
  <sheetFormatPr defaultColWidth="0" defaultRowHeight="13.35" customHeight="1" zeroHeight="1"/>
  <cols>
    <col min="1" max="1" width="4.85546875" style="236" customWidth="1"/>
    <col min="2" max="5" width="6.42578125" style="236" customWidth="1"/>
    <col min="6" max="6" width="17.42578125" style="236" customWidth="1"/>
    <col min="7" max="8" width="6.42578125" style="236" customWidth="1"/>
    <col min="9" max="9" width="17" style="236" customWidth="1"/>
    <col min="10" max="14" width="6.42578125" style="236" customWidth="1"/>
    <col min="15" max="253" width="3.5703125" style="236" hidden="1" customWidth="1"/>
    <col min="254" max="16384" width="8.85546875" style="236" hidden="1"/>
  </cols>
  <sheetData>
    <row r="1" spans="1:13" ht="12.75">
      <c r="A1" s="235"/>
    </row>
    <row r="2" spans="1:13" ht="12.75">
      <c r="B2" s="237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9"/>
    </row>
    <row r="3" spans="1:13" ht="12.75">
      <c r="B3" s="240"/>
      <c r="M3" s="241"/>
    </row>
    <row r="4" spans="1:13" ht="12.75">
      <c r="B4" s="240"/>
      <c r="M4" s="241"/>
    </row>
    <row r="5" spans="1:13" ht="12.75">
      <c r="B5" s="240"/>
      <c r="M5" s="241"/>
    </row>
    <row r="6" spans="1:13" ht="12.75">
      <c r="B6" s="240"/>
      <c r="M6" s="241"/>
    </row>
    <row r="7" spans="1:13" ht="12.75">
      <c r="B7" s="240"/>
      <c r="M7" s="241"/>
    </row>
    <row r="8" spans="1:13" ht="12.75">
      <c r="B8" s="240"/>
      <c r="M8" s="241"/>
    </row>
    <row r="9" spans="1:13" ht="12.75">
      <c r="B9" s="240"/>
      <c r="M9" s="241"/>
    </row>
    <row r="10" spans="1:13" ht="12.75">
      <c r="B10" s="240"/>
      <c r="M10" s="241"/>
    </row>
    <row r="11" spans="1:13" ht="12.75">
      <c r="B11" s="240"/>
      <c r="M11" s="241"/>
    </row>
    <row r="12" spans="1:13" ht="12.75">
      <c r="B12" s="240"/>
      <c r="M12" s="241"/>
    </row>
    <row r="13" spans="1:13" ht="12.75">
      <c r="B13" s="240"/>
      <c r="M13" s="241"/>
    </row>
    <row r="14" spans="1:13" ht="12.75">
      <c r="B14" s="240"/>
      <c r="M14" s="241"/>
    </row>
    <row r="15" spans="1:13" ht="12.75">
      <c r="B15" s="240"/>
      <c r="M15" s="241"/>
    </row>
    <row r="16" spans="1:13" ht="12.75">
      <c r="B16" s="240"/>
      <c r="M16" s="241"/>
    </row>
    <row r="17" spans="2:13" ht="18">
      <c r="B17" s="242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4"/>
    </row>
    <row r="18" spans="2:13" ht="23.25">
      <c r="B18" s="336" t="s">
        <v>179</v>
      </c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8"/>
    </row>
    <row r="19" spans="2:13" ht="23.1" customHeight="1">
      <c r="B19" s="336" t="s">
        <v>205</v>
      </c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40"/>
    </row>
    <row r="20" spans="2:13" ht="23.25">
      <c r="B20" s="245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7"/>
    </row>
    <row r="21" spans="2:13" ht="12.75">
      <c r="B21" s="240"/>
      <c r="F21" s="248" t="s">
        <v>180</v>
      </c>
      <c r="G21" s="249">
        <v>1</v>
      </c>
      <c r="M21" s="241"/>
    </row>
    <row r="22" spans="2:13" ht="12.75">
      <c r="B22" s="240"/>
      <c r="F22" s="248" t="s">
        <v>181</v>
      </c>
      <c r="G22" s="341">
        <v>45566</v>
      </c>
      <c r="H22" s="341"/>
      <c r="I22" s="341"/>
      <c r="M22" s="241"/>
    </row>
    <row r="23" spans="2:13" ht="12.75">
      <c r="B23" s="240"/>
      <c r="F23" s="248" t="s">
        <v>182</v>
      </c>
      <c r="G23" s="250" t="s">
        <v>224</v>
      </c>
      <c r="H23" s="250"/>
      <c r="I23" s="250"/>
      <c r="M23" s="241"/>
    </row>
    <row r="24" spans="2:13" ht="12.75">
      <c r="B24" s="240"/>
      <c r="F24" s="248" t="s">
        <v>183</v>
      </c>
      <c r="G24" s="341">
        <f ca="1">NOW()</f>
        <v>45687.653725810182</v>
      </c>
      <c r="H24" s="341"/>
      <c r="I24" s="341"/>
      <c r="M24" s="241"/>
    </row>
    <row r="25" spans="2:13" ht="12.75">
      <c r="B25" s="240"/>
      <c r="F25" s="248" t="s">
        <v>184</v>
      </c>
      <c r="G25" s="250" t="s">
        <v>185</v>
      </c>
      <c r="H25" s="250"/>
      <c r="I25" s="250"/>
      <c r="M25" s="241"/>
    </row>
    <row r="26" spans="2:13" ht="18"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5"/>
    </row>
    <row r="27" spans="2:13" ht="18">
      <c r="B27" s="333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5"/>
    </row>
    <row r="28" spans="2:13" ht="18">
      <c r="B28" s="242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4"/>
    </row>
    <row r="29" spans="2:13" ht="12.75">
      <c r="B29" s="240"/>
      <c r="C29" s="251"/>
      <c r="D29" s="252"/>
      <c r="E29" s="252"/>
      <c r="F29" s="252"/>
      <c r="G29" s="252"/>
      <c r="H29" s="252"/>
      <c r="I29" s="252"/>
      <c r="J29" s="252"/>
      <c r="K29" s="252"/>
      <c r="L29" s="252"/>
      <c r="M29" s="241"/>
    </row>
    <row r="30" spans="2:13" ht="12.75">
      <c r="B30" s="240"/>
      <c r="M30" s="241"/>
    </row>
    <row r="31" spans="2:13" ht="12.75">
      <c r="B31" s="240"/>
      <c r="M31" s="241"/>
    </row>
    <row r="32" spans="2:13" ht="12.75">
      <c r="B32" s="240"/>
      <c r="M32" s="241"/>
    </row>
    <row r="33" spans="2:13" ht="12.75">
      <c r="B33" s="240"/>
      <c r="M33" s="241"/>
    </row>
    <row r="34" spans="2:13" ht="12.75">
      <c r="B34" s="240"/>
      <c r="M34" s="241"/>
    </row>
    <row r="35" spans="2:13" ht="12.75">
      <c r="B35" s="240"/>
      <c r="M35" s="241"/>
    </row>
    <row r="36" spans="2:13" ht="12.75">
      <c r="B36" s="240"/>
      <c r="M36" s="241"/>
    </row>
    <row r="37" spans="2:13" ht="12.75">
      <c r="B37" s="240"/>
      <c r="M37" s="241"/>
    </row>
    <row r="38" spans="2:13" ht="12.75">
      <c r="B38" s="240"/>
      <c r="M38" s="241"/>
    </row>
    <row r="39" spans="2:13" ht="12.75">
      <c r="B39" s="240"/>
      <c r="M39" s="241"/>
    </row>
    <row r="40" spans="2:13" ht="12.75">
      <c r="B40" s="240"/>
      <c r="M40" s="241"/>
    </row>
    <row r="41" spans="2:13" ht="12.75">
      <c r="B41" s="240"/>
      <c r="M41" s="241"/>
    </row>
    <row r="42" spans="2:13" ht="12.75">
      <c r="B42" s="253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5"/>
    </row>
    <row r="43" spans="2:13" ht="12.75"/>
    <row r="44" spans="2:13" ht="12.75"/>
    <row r="45" spans="2:13" ht="13.35" customHeight="1"/>
    <row r="46" spans="2:13" ht="13.35" customHeight="1"/>
    <row r="47" spans="2:13" ht="13.35" customHeight="1"/>
    <row r="48" spans="2:13" ht="13.35" customHeight="1"/>
    <row r="49" ht="13.35" customHeight="1"/>
    <row r="50" ht="13.35" customHeight="1"/>
    <row r="51" ht="13.35" customHeight="1"/>
    <row r="52" ht="13.35" customHeight="1"/>
    <row r="53" ht="13.35" customHeight="1"/>
    <row r="54" ht="13.35" customHeight="1"/>
    <row r="55" ht="13.35" customHeight="1"/>
    <row r="56" ht="13.35" customHeight="1"/>
    <row r="57" ht="13.35" customHeight="1"/>
    <row r="58" ht="13.35" customHeight="1"/>
  </sheetData>
  <mergeCells count="6">
    <mergeCell ref="B27:M27"/>
    <mergeCell ref="B18:M18"/>
    <mergeCell ref="B19:M19"/>
    <mergeCell ref="G22:I22"/>
    <mergeCell ref="G24:I24"/>
    <mergeCell ref="B26:M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AG35"/>
  <sheetViews>
    <sheetView showGridLines="0" zoomScale="60" zoomScaleNormal="60" workbookViewId="0"/>
  </sheetViews>
  <sheetFormatPr defaultColWidth="9.140625" defaultRowHeight="12.75"/>
  <cols>
    <col min="1" max="1" width="1.42578125" customWidth="1"/>
    <col min="13" max="13" width="26.28515625" customWidth="1"/>
    <col min="14" max="14" width="4.5703125" customWidth="1"/>
  </cols>
  <sheetData>
    <row r="1" spans="2:33" ht="3" customHeight="1"/>
    <row r="2" spans="2:33" s="67" customFormat="1" ht="42.75" customHeight="1">
      <c r="B2" s="342" t="s">
        <v>186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/>
      <c r="O2"/>
      <c r="P2"/>
      <c r="Q2"/>
      <c r="R2"/>
      <c r="S2"/>
      <c r="AB2" s="66"/>
      <c r="AD2" s="68"/>
      <c r="AE2" s="66"/>
      <c r="AF2" s="66"/>
      <c r="AG2" s="66"/>
    </row>
    <row r="3" spans="2:33" s="259" customFormat="1" ht="42.75" customHeight="1">
      <c r="B3" s="256"/>
      <c r="C3" s="257"/>
      <c r="D3" s="257"/>
      <c r="E3" s="257"/>
      <c r="F3" s="257"/>
      <c r="G3" s="257"/>
      <c r="H3" s="257"/>
      <c r="I3" s="257"/>
      <c r="J3" s="257"/>
      <c r="K3" s="257"/>
      <c r="L3" s="3"/>
      <c r="M3" s="3"/>
      <c r="N3" s="208"/>
      <c r="O3"/>
      <c r="P3" s="258"/>
      <c r="Q3" s="258"/>
      <c r="R3" s="258"/>
      <c r="S3" s="258"/>
      <c r="AB3" s="260"/>
      <c r="AD3" s="261"/>
      <c r="AE3" s="260"/>
      <c r="AF3" s="260"/>
      <c r="AG3" s="260"/>
    </row>
    <row r="4" spans="2:33" s="259" customFormat="1" ht="42.75" customHeight="1">
      <c r="B4" s="256"/>
      <c r="C4" s="257"/>
      <c r="D4" s="257"/>
      <c r="E4" s="257"/>
      <c r="F4" s="257"/>
      <c r="G4" s="257"/>
      <c r="H4" s="257"/>
      <c r="I4" s="257"/>
      <c r="J4" s="257"/>
      <c r="K4" s="257"/>
      <c r="L4" s="3"/>
      <c r="M4" s="3"/>
      <c r="N4" s="208"/>
      <c r="O4"/>
      <c r="P4" s="258"/>
      <c r="Q4" s="258"/>
      <c r="R4" s="258"/>
      <c r="S4" s="258"/>
      <c r="AB4" s="260"/>
      <c r="AD4" s="261"/>
      <c r="AE4" s="260"/>
      <c r="AF4" s="260"/>
      <c r="AG4" s="260"/>
    </row>
    <row r="5" spans="2:33" s="259" customFormat="1" ht="42.75" customHeight="1">
      <c r="B5" s="256"/>
      <c r="C5" s="257"/>
      <c r="D5" s="257"/>
      <c r="E5" s="257"/>
      <c r="F5" s="257"/>
      <c r="G5" s="257"/>
      <c r="H5" s="257"/>
      <c r="I5" s="257"/>
      <c r="J5" s="257"/>
      <c r="K5" s="257"/>
      <c r="L5" s="3"/>
      <c r="M5" s="3"/>
      <c r="N5" s="208"/>
      <c r="O5"/>
      <c r="P5" s="258"/>
      <c r="Q5" s="258"/>
      <c r="R5" s="258"/>
      <c r="S5" s="258"/>
      <c r="AB5" s="260"/>
      <c r="AD5" s="261"/>
      <c r="AE5" s="260"/>
      <c r="AF5" s="260"/>
      <c r="AG5" s="260"/>
    </row>
    <row r="6" spans="2:33" s="259" customFormat="1" ht="42.75" customHeight="1">
      <c r="B6" s="256"/>
      <c r="C6" s="257"/>
      <c r="D6" s="257"/>
      <c r="E6" s="257"/>
      <c r="F6" s="257"/>
      <c r="G6" s="257"/>
      <c r="H6" s="257"/>
      <c r="I6" s="257"/>
      <c r="J6" s="257"/>
      <c r="K6" s="257"/>
      <c r="L6" s="3"/>
      <c r="M6" s="3"/>
      <c r="N6" s="208"/>
      <c r="O6"/>
      <c r="P6" s="258"/>
      <c r="Q6" s="258"/>
      <c r="R6" s="258"/>
      <c r="S6" s="258"/>
      <c r="AB6" s="260"/>
      <c r="AD6" s="261"/>
      <c r="AE6" s="260"/>
      <c r="AF6" s="260"/>
      <c r="AG6" s="260"/>
    </row>
    <row r="7" spans="2:33" s="3" customFormat="1">
      <c r="B7" s="205"/>
      <c r="N7" s="208"/>
      <c r="O7"/>
      <c r="P7"/>
      <c r="Q7"/>
      <c r="R7"/>
      <c r="S7"/>
    </row>
    <row r="8" spans="2:33" s="3" customFormat="1" ht="23.25">
      <c r="B8" s="205"/>
      <c r="C8" s="344" t="s">
        <v>153</v>
      </c>
      <c r="D8" s="345"/>
      <c r="E8" s="345"/>
      <c r="F8" s="346"/>
      <c r="I8" s="344" t="s">
        <v>154</v>
      </c>
      <c r="J8" s="345"/>
      <c r="K8" s="345"/>
      <c r="L8" s="345"/>
      <c r="N8" s="208"/>
      <c r="O8"/>
      <c r="P8"/>
      <c r="Q8"/>
      <c r="R8"/>
      <c r="S8"/>
    </row>
    <row r="9" spans="2:33" s="3" customFormat="1">
      <c r="B9" s="205"/>
      <c r="N9" s="208"/>
      <c r="O9"/>
      <c r="P9"/>
      <c r="Q9"/>
      <c r="R9"/>
      <c r="S9"/>
    </row>
    <row r="10" spans="2:33" s="3" customFormat="1">
      <c r="B10" s="205"/>
      <c r="N10" s="208"/>
      <c r="O10"/>
      <c r="P10"/>
      <c r="Q10"/>
      <c r="R10"/>
      <c r="S10"/>
    </row>
    <row r="11" spans="2:33" s="309" customFormat="1" ht="21.6" customHeight="1">
      <c r="B11" s="308"/>
      <c r="C11" s="347" t="s">
        <v>192</v>
      </c>
      <c r="D11" s="348"/>
      <c r="E11" s="348"/>
      <c r="F11" s="349"/>
      <c r="I11" s="347" t="s">
        <v>207</v>
      </c>
      <c r="J11" s="348"/>
      <c r="K11" s="348"/>
      <c r="L11" s="349"/>
      <c r="N11" s="310"/>
    </row>
    <row r="12" spans="2:33" s="309" customFormat="1" ht="12.95" customHeight="1">
      <c r="B12" s="308"/>
      <c r="C12" s="350"/>
      <c r="D12" s="351"/>
      <c r="E12" s="351"/>
      <c r="F12" s="352"/>
      <c r="I12" s="350"/>
      <c r="J12" s="351"/>
      <c r="K12" s="351"/>
      <c r="L12" s="352"/>
      <c r="N12" s="310"/>
    </row>
    <row r="13" spans="2:33" s="309" customFormat="1" ht="23.25">
      <c r="B13" s="308"/>
      <c r="C13" s="350"/>
      <c r="D13" s="351"/>
      <c r="E13" s="351"/>
      <c r="F13" s="352"/>
      <c r="I13" s="350"/>
      <c r="J13" s="351"/>
      <c r="K13" s="351"/>
      <c r="L13" s="352"/>
      <c r="N13" s="310"/>
    </row>
    <row r="14" spans="2:33" s="309" customFormat="1" ht="21.6" customHeight="1">
      <c r="B14" s="308"/>
      <c r="C14" s="353"/>
      <c r="D14" s="354"/>
      <c r="E14" s="354"/>
      <c r="F14" s="355"/>
      <c r="I14" s="353"/>
      <c r="J14" s="354"/>
      <c r="K14" s="354"/>
      <c r="L14" s="355"/>
      <c r="N14" s="310"/>
    </row>
    <row r="15" spans="2:33" s="3" customFormat="1">
      <c r="B15" s="205"/>
      <c r="N15" s="208"/>
      <c r="O15"/>
      <c r="P15"/>
      <c r="Q15"/>
      <c r="R15"/>
      <c r="S15"/>
    </row>
    <row r="16" spans="2:33" s="3" customFormat="1">
      <c r="B16" s="205"/>
      <c r="N16" s="208"/>
      <c r="O16"/>
      <c r="P16"/>
      <c r="Q16"/>
      <c r="R16"/>
      <c r="S16"/>
    </row>
    <row r="17" spans="2:27" s="3" customFormat="1" ht="20.100000000000001" customHeight="1">
      <c r="B17" s="205"/>
      <c r="C17" s="347" t="s">
        <v>170</v>
      </c>
      <c r="D17" s="348"/>
      <c r="E17" s="348"/>
      <c r="F17" s="349"/>
      <c r="N17" s="208"/>
      <c r="O17"/>
      <c r="P17"/>
      <c r="Q17"/>
      <c r="R17"/>
      <c r="S17"/>
    </row>
    <row r="18" spans="2:27" s="3" customFormat="1" ht="12.6" customHeight="1">
      <c r="B18" s="205"/>
      <c r="C18" s="350"/>
      <c r="D18" s="351"/>
      <c r="E18" s="351"/>
      <c r="F18" s="352"/>
      <c r="N18" s="208"/>
      <c r="O18"/>
      <c r="P18"/>
      <c r="Q18"/>
      <c r="R18"/>
      <c r="S18"/>
    </row>
    <row r="19" spans="2:27" s="3" customFormat="1" ht="12.95" customHeight="1">
      <c r="B19" s="205"/>
      <c r="C19" s="350"/>
      <c r="D19" s="351"/>
      <c r="E19" s="351"/>
      <c r="F19" s="352"/>
      <c r="N19" s="208"/>
      <c r="O19"/>
      <c r="P19"/>
      <c r="Q19"/>
      <c r="R19"/>
      <c r="S19"/>
    </row>
    <row r="20" spans="2:27" s="3" customFormat="1" ht="12.95" customHeight="1">
      <c r="B20" s="205"/>
      <c r="C20" s="350"/>
      <c r="D20" s="351"/>
      <c r="E20" s="351"/>
      <c r="F20" s="352"/>
      <c r="H20" s="206"/>
      <c r="N20" s="208"/>
      <c r="O20"/>
      <c r="P20"/>
      <c r="Q20"/>
      <c r="R20"/>
      <c r="S20"/>
    </row>
    <row r="21" spans="2:27" s="78" customFormat="1" ht="12.95" customHeight="1">
      <c r="B21" s="207"/>
      <c r="C21" s="353"/>
      <c r="D21" s="354"/>
      <c r="E21" s="354"/>
      <c r="F21" s="355"/>
      <c r="G21" s="204"/>
      <c r="I21" s="3"/>
      <c r="J21" s="3"/>
      <c r="K21" s="3"/>
      <c r="L21" s="3"/>
      <c r="M21" s="3"/>
      <c r="N21" s="209"/>
      <c r="O21"/>
      <c r="P21"/>
      <c r="Q21"/>
      <c r="R21"/>
      <c r="S21"/>
      <c r="T21" s="204"/>
      <c r="U21" s="204"/>
      <c r="V21" s="204"/>
      <c r="W21" s="204"/>
      <c r="X21" s="204"/>
      <c r="Y21" s="204"/>
      <c r="Z21" s="204"/>
      <c r="AA21" s="204"/>
    </row>
    <row r="22" spans="2:27" s="3" customFormat="1">
      <c r="B22" s="205"/>
      <c r="H22" s="206"/>
      <c r="N22" s="208"/>
      <c r="O22"/>
      <c r="P22"/>
      <c r="Q22"/>
      <c r="R22"/>
      <c r="S22"/>
    </row>
    <row r="23" spans="2:27" s="3" customFormat="1">
      <c r="B23" s="205"/>
      <c r="N23" s="208"/>
      <c r="O23"/>
      <c r="P23"/>
      <c r="Q23"/>
      <c r="R23"/>
      <c r="S23"/>
    </row>
    <row r="24" spans="2:27" s="3" customFormat="1">
      <c r="B24" s="205"/>
      <c r="N24" s="208"/>
      <c r="O24"/>
      <c r="P24"/>
      <c r="Q24"/>
      <c r="R24"/>
      <c r="S24"/>
    </row>
    <row r="25" spans="2:27" s="3" customFormat="1">
      <c r="B25" s="205"/>
      <c r="N25" s="208"/>
      <c r="O25"/>
      <c r="P25"/>
      <c r="Q25"/>
      <c r="R25"/>
      <c r="S25"/>
    </row>
    <row r="26" spans="2:27" s="3" customFormat="1">
      <c r="B26" s="205"/>
      <c r="N26" s="208"/>
      <c r="O26"/>
      <c r="P26"/>
      <c r="Q26"/>
      <c r="R26"/>
      <c r="S26"/>
    </row>
    <row r="27" spans="2:27" s="3" customFormat="1">
      <c r="B27" s="205"/>
      <c r="I27"/>
      <c r="J27"/>
      <c r="K27"/>
      <c r="N27" s="208"/>
      <c r="O27"/>
      <c r="P27"/>
      <c r="Q27"/>
      <c r="R27"/>
      <c r="S27"/>
    </row>
    <row r="28" spans="2:27" s="3" customFormat="1">
      <c r="B28" s="205"/>
      <c r="I28"/>
      <c r="J28"/>
      <c r="K28"/>
      <c r="N28" s="208"/>
      <c r="O28"/>
      <c r="P28"/>
      <c r="Q28"/>
      <c r="R28"/>
      <c r="S28"/>
    </row>
    <row r="29" spans="2:27" s="3" customFormat="1">
      <c r="B29" s="205"/>
      <c r="I29"/>
      <c r="J29"/>
      <c r="K29"/>
      <c r="M29"/>
      <c r="N29" s="208"/>
      <c r="O29"/>
      <c r="P29"/>
      <c r="Q29"/>
      <c r="R29"/>
      <c r="S29"/>
    </row>
    <row r="30" spans="2:27" s="3" customFormat="1">
      <c r="B30" s="205"/>
      <c r="I30"/>
      <c r="J30"/>
      <c r="K30"/>
      <c r="N30" s="208"/>
      <c r="O30"/>
      <c r="P30"/>
      <c r="Q30"/>
      <c r="R30"/>
      <c r="S30"/>
    </row>
    <row r="31" spans="2:27" s="3" customFormat="1">
      <c r="B31" s="205"/>
      <c r="I31"/>
      <c r="J31"/>
      <c r="K31"/>
      <c r="M31"/>
      <c r="N31" s="208"/>
      <c r="O31"/>
      <c r="P31"/>
      <c r="Q31"/>
      <c r="R31"/>
      <c r="S31"/>
    </row>
    <row r="32" spans="2:27" s="3" customFormat="1">
      <c r="B32" s="205"/>
      <c r="I32"/>
      <c r="J32"/>
      <c r="K32"/>
      <c r="N32" s="208"/>
      <c r="O32"/>
      <c r="P32"/>
      <c r="Q32"/>
      <c r="R32"/>
      <c r="S32"/>
    </row>
    <row r="33" spans="2:19" s="3" customFormat="1">
      <c r="B33" s="205"/>
      <c r="I33"/>
      <c r="J33"/>
      <c r="K33"/>
      <c r="M33"/>
      <c r="N33" s="208"/>
      <c r="O33"/>
      <c r="P33"/>
      <c r="Q33"/>
      <c r="R33"/>
      <c r="S33"/>
    </row>
    <row r="34" spans="2:19" s="3" customFormat="1">
      <c r="B34" s="79"/>
      <c r="C34" s="61"/>
      <c r="D34" s="61"/>
      <c r="E34" s="61"/>
      <c r="F34" s="61"/>
      <c r="G34" s="61"/>
      <c r="H34" s="61"/>
      <c r="I34" s="73"/>
      <c r="J34" s="73"/>
      <c r="K34" s="73"/>
      <c r="L34" s="61"/>
      <c r="M34" s="61"/>
      <c r="N34" s="208"/>
      <c r="O34"/>
      <c r="P34"/>
      <c r="Q34"/>
      <c r="R34"/>
      <c r="S34"/>
    </row>
    <row r="35" spans="2:19" s="3" customFormat="1">
      <c r="I35"/>
      <c r="J35"/>
      <c r="K35"/>
      <c r="L35"/>
      <c r="M35"/>
      <c r="N35"/>
      <c r="O35"/>
      <c r="P35"/>
      <c r="Q35"/>
      <c r="R35"/>
      <c r="S35"/>
    </row>
  </sheetData>
  <mergeCells count="6">
    <mergeCell ref="B2:M2"/>
    <mergeCell ref="I8:L8"/>
    <mergeCell ref="C8:F8"/>
    <mergeCell ref="C11:F14"/>
    <mergeCell ref="C17:F21"/>
    <mergeCell ref="I11:L14"/>
  </mergeCells>
  <hyperlinks>
    <hyperlink ref="I11:L14" location="'Gen Prices'!A1" display="Genco Price" xr:uid="{97735662-19CA-4D9D-81DA-C87AB20A3439}"/>
    <hyperlink ref="C11:F14" location="'User Guide'!A1" display="User Guide" xr:uid="{28B98ACA-699F-4EF8-AD70-39A87AF9CAA1}"/>
    <hyperlink ref="C17:F21" location="'Input Data'!A1" display="Input Data" xr:uid="{AB89D75F-7D8F-47ED-917A-6BCCE4DC75FE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6CED-FAC7-45AB-84DE-9F6F4770924D}">
  <sheetPr codeName="Sheet7"/>
  <dimension ref="A1:U41"/>
  <sheetViews>
    <sheetView showGridLines="0" topLeftCell="A3" zoomScaleNormal="100" workbookViewId="0"/>
  </sheetViews>
  <sheetFormatPr defaultColWidth="9.140625" defaultRowHeight="12.75"/>
  <cols>
    <col min="1" max="1" width="9.140625" style="6"/>
    <col min="2" max="2" width="17.5703125" style="6" customWidth="1"/>
    <col min="3" max="15" width="9.140625" style="6"/>
    <col min="16" max="16" width="9.5703125" style="6" customWidth="1"/>
    <col min="17" max="16384" width="9.140625" style="6"/>
  </cols>
  <sheetData>
    <row r="1" spans="1:18">
      <c r="A1"/>
      <c r="B1"/>
      <c r="C1" s="7"/>
    </row>
    <row r="3" spans="1:18" ht="29.45" customHeight="1"/>
    <row r="4" spans="1:18" ht="18">
      <c r="C4" s="356" t="s">
        <v>187</v>
      </c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8"/>
    </row>
    <row r="5" spans="1:18" ht="18">
      <c r="C5" s="262" t="s">
        <v>188</v>
      </c>
      <c r="D5" s="202"/>
      <c r="E5" s="202"/>
      <c r="F5" s="201" t="s">
        <v>189</v>
      </c>
      <c r="G5" s="201"/>
      <c r="H5" s="202"/>
      <c r="I5" s="202"/>
      <c r="J5" s="202"/>
      <c r="K5" s="202"/>
      <c r="L5" s="202"/>
      <c r="P5" s="263"/>
    </row>
    <row r="6" spans="1:18" ht="18">
      <c r="C6" s="264" t="s">
        <v>190</v>
      </c>
      <c r="D6" s="265"/>
      <c r="E6" s="202"/>
      <c r="F6" s="266" t="s">
        <v>191</v>
      </c>
      <c r="G6" s="201"/>
      <c r="H6" s="266"/>
      <c r="I6" s="202"/>
      <c r="J6" s="202"/>
      <c r="K6" s="202"/>
      <c r="L6" s="202"/>
      <c r="P6" s="263"/>
    </row>
    <row r="7" spans="1:18" ht="15.75">
      <c r="C7" s="264" t="s">
        <v>174</v>
      </c>
      <c r="D7" s="266"/>
      <c r="E7" s="266"/>
      <c r="F7" s="266" t="s">
        <v>175</v>
      </c>
      <c r="G7" s="267"/>
      <c r="H7" s="267"/>
      <c r="I7" s="267"/>
      <c r="P7" s="263"/>
    </row>
    <row r="8" spans="1:18" ht="15.75">
      <c r="C8" s="264" t="s">
        <v>192</v>
      </c>
      <c r="D8" s="266"/>
      <c r="E8" s="266"/>
      <c r="F8" s="266" t="s">
        <v>193</v>
      </c>
      <c r="G8" s="267"/>
      <c r="H8" s="267"/>
      <c r="I8" s="267"/>
      <c r="P8" s="263"/>
    </row>
    <row r="9" spans="1:18" ht="15.75">
      <c r="C9" s="268" t="s">
        <v>170</v>
      </c>
      <c r="D9" s="269"/>
      <c r="E9" s="269"/>
      <c r="F9" s="270" t="s">
        <v>194</v>
      </c>
      <c r="G9" s="269"/>
      <c r="H9" s="269"/>
      <c r="I9" s="269"/>
      <c r="J9" s="270"/>
      <c r="K9" s="270"/>
      <c r="L9" s="270"/>
      <c r="M9" s="270"/>
      <c r="P9" s="263"/>
    </row>
    <row r="10" spans="1:18" ht="15.75">
      <c r="C10" s="268" t="s">
        <v>171</v>
      </c>
      <c r="D10" s="269"/>
      <c r="E10" s="269"/>
      <c r="F10" s="270" t="s">
        <v>172</v>
      </c>
      <c r="G10" s="269"/>
      <c r="H10" s="269"/>
      <c r="I10" s="269"/>
      <c r="J10" s="270"/>
      <c r="K10" s="270"/>
      <c r="L10" s="270"/>
      <c r="M10" s="270"/>
      <c r="P10" s="263"/>
    </row>
    <row r="11" spans="1:18" ht="15.75">
      <c r="C11" s="268" t="s">
        <v>199</v>
      </c>
      <c r="D11" s="269"/>
      <c r="E11" s="269"/>
      <c r="F11" s="270" t="s">
        <v>195</v>
      </c>
      <c r="G11" s="269"/>
      <c r="H11" s="269"/>
      <c r="I11" s="269"/>
      <c r="J11" s="271"/>
      <c r="K11" s="271"/>
      <c r="L11" s="271"/>
      <c r="M11" s="271"/>
      <c r="P11" s="263"/>
      <c r="Q11"/>
      <c r="R11"/>
    </row>
    <row r="12" spans="1:18" ht="15.75">
      <c r="C12" s="268" t="s">
        <v>176</v>
      </c>
      <c r="D12" s="268"/>
      <c r="F12" s="270" t="s">
        <v>200</v>
      </c>
      <c r="G12" s="269"/>
      <c r="H12" s="269"/>
      <c r="I12" s="269"/>
      <c r="J12" s="271"/>
      <c r="K12" s="271"/>
      <c r="L12" s="271"/>
      <c r="M12" s="271"/>
      <c r="P12" s="263"/>
      <c r="Q12"/>
      <c r="R12"/>
    </row>
    <row r="13" spans="1:18" ht="15.75">
      <c r="C13" s="268"/>
      <c r="D13" s="269"/>
      <c r="E13" s="269"/>
      <c r="F13" s="270" t="s">
        <v>201</v>
      </c>
      <c r="G13" s="269"/>
      <c r="H13" s="269"/>
      <c r="I13" s="269"/>
      <c r="J13" s="271"/>
      <c r="K13" s="271"/>
      <c r="L13" s="271"/>
      <c r="M13" s="271"/>
      <c r="P13" s="263"/>
      <c r="Q13"/>
      <c r="R13"/>
    </row>
    <row r="14" spans="1:18" ht="15.75">
      <c r="A14"/>
      <c r="B14"/>
      <c r="C14" s="273" t="s">
        <v>173</v>
      </c>
      <c r="D14" s="273"/>
      <c r="E14" s="275"/>
      <c r="F14" s="274" t="s">
        <v>177</v>
      </c>
      <c r="G14" s="295"/>
      <c r="H14" s="295"/>
      <c r="I14" s="295"/>
      <c r="J14" s="274"/>
      <c r="K14" s="274"/>
      <c r="L14" s="274"/>
      <c r="M14" s="275"/>
      <c r="N14" s="275"/>
      <c r="O14" s="275"/>
      <c r="P14" s="276"/>
      <c r="Q14"/>
      <c r="R14"/>
    </row>
    <row r="15" spans="1:18">
      <c r="A15"/>
      <c r="B15"/>
      <c r="D15" s="277"/>
      <c r="E15" s="277"/>
      <c r="F15" s="277"/>
      <c r="G15" s="277"/>
      <c r="H15" s="278"/>
      <c r="I15" s="278"/>
      <c r="J15" s="278"/>
    </row>
    <row r="16" spans="1:18">
      <c r="A16"/>
      <c r="B16"/>
    </row>
    <row r="17" spans="3:16" ht="18">
      <c r="C17" s="356" t="s">
        <v>178</v>
      </c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8"/>
    </row>
    <row r="18" spans="3:16">
      <c r="C18" s="279">
        <v>0</v>
      </c>
      <c r="F18" s="6" t="s">
        <v>208</v>
      </c>
      <c r="P18" s="263"/>
    </row>
    <row r="19" spans="3:16">
      <c r="C19" s="280"/>
      <c r="D19" s="272"/>
      <c r="E19" s="272"/>
      <c r="F19" s="272"/>
      <c r="G19" s="272"/>
      <c r="H19" s="272"/>
      <c r="P19" s="263"/>
    </row>
    <row r="20" spans="3:16">
      <c r="C20" s="279">
        <v>1</v>
      </c>
      <c r="F20" s="6" t="s">
        <v>209</v>
      </c>
      <c r="P20" s="263"/>
    </row>
    <row r="21" spans="3:16">
      <c r="C21" s="279"/>
      <c r="P21" s="263"/>
    </row>
    <row r="22" spans="3:16" ht="10.5" customHeight="1">
      <c r="C22" s="279">
        <v>2</v>
      </c>
      <c r="F22" s="6" t="s">
        <v>204</v>
      </c>
      <c r="P22" s="263"/>
    </row>
    <row r="23" spans="3:16">
      <c r="C23" s="279"/>
      <c r="F23" s="6" t="s">
        <v>202</v>
      </c>
      <c r="P23" s="263"/>
    </row>
    <row r="24" spans="3:16">
      <c r="C24" s="279"/>
      <c r="F24" s="6" t="s">
        <v>203</v>
      </c>
      <c r="P24" s="263"/>
    </row>
    <row r="25" spans="3:16">
      <c r="C25" s="279"/>
      <c r="P25" s="263"/>
    </row>
    <row r="26" spans="3:16">
      <c r="C26" s="279">
        <v>3</v>
      </c>
      <c r="F26" s="6" t="s">
        <v>210</v>
      </c>
      <c r="P26" s="263"/>
    </row>
    <row r="27" spans="3:16">
      <c r="C27" s="279"/>
      <c r="P27" s="263"/>
    </row>
    <row r="28" spans="3:16">
      <c r="C28" s="279">
        <v>4</v>
      </c>
      <c r="F28" s="6" t="s">
        <v>211</v>
      </c>
      <c r="P28" s="263"/>
    </row>
    <row r="29" spans="3:16">
      <c r="C29" s="281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6"/>
    </row>
    <row r="31" spans="3:16">
      <c r="I31" s="235"/>
      <c r="J31" s="235"/>
      <c r="K31" s="235"/>
    </row>
    <row r="32" spans="3:16" ht="18">
      <c r="C32" s="359" t="s">
        <v>151</v>
      </c>
      <c r="D32" s="360"/>
      <c r="E32" s="360"/>
      <c r="F32" s="360"/>
      <c r="G32" s="360"/>
      <c r="H32" s="360"/>
      <c r="I32" s="360"/>
      <c r="J32" s="360"/>
      <c r="K32" s="360"/>
      <c r="L32" s="361"/>
    </row>
    <row r="33" spans="3:21" ht="18.75">
      <c r="C33" s="282" t="s">
        <v>196</v>
      </c>
      <c r="D33" s="283"/>
      <c r="E33" s="283"/>
      <c r="F33" s="284"/>
      <c r="G33" s="283"/>
      <c r="H33" s="283"/>
      <c r="I33" s="283"/>
      <c r="J33" s="285"/>
      <c r="K33" s="285"/>
      <c r="L33" s="286"/>
    </row>
    <row r="34" spans="3:21" ht="18.75">
      <c r="C34" s="287" t="s">
        <v>197</v>
      </c>
      <c r="D34" s="288"/>
      <c r="E34" s="288"/>
      <c r="F34" s="289"/>
      <c r="G34" s="288"/>
      <c r="H34" s="288"/>
      <c r="I34" s="288"/>
      <c r="J34" s="203"/>
      <c r="K34" s="203"/>
      <c r="L34" s="290"/>
    </row>
    <row r="35" spans="3:21" ht="15">
      <c r="C35" s="291" t="s">
        <v>198</v>
      </c>
      <c r="D35" s="292"/>
      <c r="E35" s="292"/>
      <c r="F35" s="292"/>
      <c r="G35" s="292"/>
      <c r="H35" s="292"/>
      <c r="I35" s="292"/>
      <c r="J35" s="293"/>
      <c r="K35" s="293"/>
      <c r="L35" s="294"/>
    </row>
    <row r="37" spans="3:21"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</row>
    <row r="38" spans="3:21"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</row>
    <row r="39" spans="3:21"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</row>
    <row r="40" spans="3:21"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</row>
    <row r="41" spans="3:21"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</row>
  </sheetData>
  <sheetProtection formatCells="0" formatColumns="0" formatRows="0"/>
  <mergeCells count="3">
    <mergeCell ref="C4:P4"/>
    <mergeCell ref="C17:P17"/>
    <mergeCell ref="C32:L3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19745" r:id="rId4" name="Button 1">
              <controlPr defaultSize="0" print="0" autoFill="0" autoPict="0" macro="[0]!control_Click">
                <anchor moveWithCells="1" sizeWithCells="1">
                  <from>
                    <xdr:col>2</xdr:col>
                    <xdr:colOff>104775</xdr:colOff>
                    <xdr:row>0</xdr:row>
                    <xdr:rowOff>85725</xdr:rowOff>
                  </from>
                  <to>
                    <xdr:col>3</xdr:col>
                    <xdr:colOff>609600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50"/>
  </sheetPr>
  <dimension ref="D3:L39"/>
  <sheetViews>
    <sheetView showGridLines="0" tabSelected="1" zoomScaleNormal="100" workbookViewId="0"/>
  </sheetViews>
  <sheetFormatPr defaultRowHeight="12.75"/>
  <cols>
    <col min="4" max="4" width="29.42578125" customWidth="1"/>
    <col min="5" max="5" width="17.5703125" customWidth="1"/>
    <col min="6" max="6" width="12.140625" bestFit="1" customWidth="1"/>
    <col min="7" max="7" width="9" bestFit="1" customWidth="1"/>
    <col min="8" max="8" width="16.7109375" customWidth="1"/>
  </cols>
  <sheetData>
    <row r="3" spans="4:12" ht="13.5" thickBot="1"/>
    <row r="4" spans="4:12">
      <c r="D4" s="364" t="s">
        <v>212</v>
      </c>
      <c r="E4" s="365"/>
      <c r="F4" s="220"/>
      <c r="H4" s="362" t="s">
        <v>28</v>
      </c>
      <c r="I4" s="363"/>
      <c r="J4" s="222"/>
      <c r="K4" s="222"/>
      <c r="L4" s="223"/>
    </row>
    <row r="5" spans="4:12" ht="13.5" thickBot="1">
      <c r="D5" s="311" t="s">
        <v>18</v>
      </c>
      <c r="E5" s="167" t="s">
        <v>22</v>
      </c>
      <c r="F5" s="312" t="s">
        <v>21</v>
      </c>
      <c r="H5" s="225" t="s">
        <v>1</v>
      </c>
      <c r="I5" s="221">
        <v>-4</v>
      </c>
      <c r="J5" s="221">
        <v>-3</v>
      </c>
      <c r="K5" s="221">
        <v>-2</v>
      </c>
      <c r="L5" s="224">
        <v>-1</v>
      </c>
    </row>
    <row r="6" spans="4:12" ht="13.5" thickBot="1">
      <c r="D6" s="314" t="s">
        <v>166</v>
      </c>
      <c r="E6" s="62" t="s">
        <v>107</v>
      </c>
      <c r="F6" s="315">
        <v>20</v>
      </c>
      <c r="H6" s="226" t="s">
        <v>7</v>
      </c>
      <c r="I6" s="304">
        <v>0</v>
      </c>
      <c r="J6" s="305">
        <v>0</v>
      </c>
      <c r="K6" s="305">
        <v>0.5</v>
      </c>
      <c r="L6" s="306">
        <v>0.5</v>
      </c>
    </row>
    <row r="7" spans="4:12">
      <c r="D7" s="33" t="s">
        <v>39</v>
      </c>
      <c r="E7" s="35" t="s">
        <v>107</v>
      </c>
      <c r="F7" s="296">
        <v>2</v>
      </c>
    </row>
    <row r="8" spans="4:12" ht="13.5" thickBot="1">
      <c r="D8" s="230" t="s">
        <v>167</v>
      </c>
      <c r="E8" s="228" t="s">
        <v>107</v>
      </c>
      <c r="F8" s="316">
        <v>2028</v>
      </c>
    </row>
    <row r="9" spans="4:12">
      <c r="D9" s="33" t="s">
        <v>23</v>
      </c>
      <c r="E9" s="35" t="s">
        <v>5</v>
      </c>
      <c r="F9" s="313">
        <v>100</v>
      </c>
    </row>
    <row r="10" spans="4:12">
      <c r="D10" s="33" t="s">
        <v>24</v>
      </c>
      <c r="E10" s="35" t="s">
        <v>7</v>
      </c>
      <c r="F10" s="297">
        <v>0.01</v>
      </c>
    </row>
    <row r="11" spans="4:12">
      <c r="D11" s="33" t="s">
        <v>91</v>
      </c>
      <c r="E11" s="35" t="s">
        <v>7</v>
      </c>
      <c r="F11" s="297">
        <v>0.01</v>
      </c>
    </row>
    <row r="12" spans="4:12">
      <c r="D12" s="33" t="s">
        <v>20</v>
      </c>
      <c r="E12" s="35" t="s">
        <v>7</v>
      </c>
      <c r="F12" s="297">
        <v>0.8</v>
      </c>
    </row>
    <row r="13" spans="4:12">
      <c r="D13" s="64" t="s">
        <v>56</v>
      </c>
      <c r="E13" s="35" t="s">
        <v>7</v>
      </c>
      <c r="F13" s="298">
        <v>1</v>
      </c>
      <c r="H13" s="227"/>
    </row>
    <row r="14" spans="4:12" ht="13.5" thickBot="1">
      <c r="D14" s="63" t="str">
        <f xml:space="preserve"> "Capital cost" &amp;   " (" &amp; F8-1 &amp; "  Basis)"</f>
        <v>Capital cost (2027  Basis)</v>
      </c>
      <c r="E14" s="41" t="s">
        <v>121</v>
      </c>
      <c r="F14" s="299">
        <v>350</v>
      </c>
    </row>
    <row r="15" spans="4:12">
      <c r="D15" s="65" t="s">
        <v>221</v>
      </c>
      <c r="E15" s="219" t="s">
        <v>7</v>
      </c>
      <c r="F15" s="300">
        <v>1</v>
      </c>
    </row>
    <row r="16" spans="4:12">
      <c r="D16" s="231" t="s">
        <v>222</v>
      </c>
      <c r="E16" s="232" t="s">
        <v>7</v>
      </c>
      <c r="F16" s="233">
        <f>1-F15</f>
        <v>0</v>
      </c>
    </row>
    <row r="17" spans="4:8">
      <c r="D17" s="33" t="s">
        <v>81</v>
      </c>
      <c r="E17" s="35" t="s">
        <v>7</v>
      </c>
      <c r="F17" s="301">
        <v>0.38</v>
      </c>
    </row>
    <row r="18" spans="4:8">
      <c r="D18" s="33" t="s">
        <v>9</v>
      </c>
      <c r="E18" s="35" t="s">
        <v>67</v>
      </c>
      <c r="F18" s="302">
        <v>78074168.437499985</v>
      </c>
      <c r="H18" s="227"/>
    </row>
    <row r="19" spans="4:8" ht="13.5" thickBot="1">
      <c r="D19" s="230" t="s">
        <v>59</v>
      </c>
      <c r="E19" s="228" t="s">
        <v>8</v>
      </c>
      <c r="F19" s="303">
        <v>1030.8742573178608</v>
      </c>
    </row>
    <row r="22" spans="4:8" ht="13.5" thickBot="1"/>
    <row r="23" spans="4:8">
      <c r="D23" s="364" t="s">
        <v>214</v>
      </c>
      <c r="E23" s="365"/>
      <c r="F23" s="220"/>
    </row>
    <row r="24" spans="4:8" ht="13.5" thickBot="1">
      <c r="D24" s="318" t="s">
        <v>18</v>
      </c>
      <c r="E24" s="319" t="s">
        <v>22</v>
      </c>
      <c r="F24" s="320" t="s">
        <v>21</v>
      </c>
    </row>
    <row r="25" spans="4:8">
      <c r="D25" s="314" t="s">
        <v>215</v>
      </c>
      <c r="E25" s="62" t="s">
        <v>216</v>
      </c>
      <c r="F25" s="315">
        <v>1600</v>
      </c>
    </row>
    <row r="26" spans="4:8">
      <c r="D26" s="33" t="s">
        <v>218</v>
      </c>
      <c r="E26" s="35" t="s">
        <v>219</v>
      </c>
      <c r="F26" s="296">
        <v>2.6</v>
      </c>
    </row>
    <row r="27" spans="4:8">
      <c r="D27" s="33" t="s">
        <v>217</v>
      </c>
      <c r="E27" s="35" t="s">
        <v>7</v>
      </c>
      <c r="F27" s="317">
        <v>0.2</v>
      </c>
    </row>
    <row r="28" spans="4:8" ht="13.5" thickBot="1">
      <c r="D28" s="230" t="s">
        <v>220</v>
      </c>
      <c r="E28" s="228" t="s">
        <v>7</v>
      </c>
      <c r="F28" s="321">
        <v>0.32</v>
      </c>
    </row>
    <row r="38" spans="4:5">
      <c r="D38" s="4"/>
      <c r="E38" s="35"/>
    </row>
    <row r="39" spans="4:5">
      <c r="D39" s="4"/>
      <c r="E39" s="35"/>
    </row>
  </sheetData>
  <mergeCells count="3">
    <mergeCell ref="H4:I4"/>
    <mergeCell ref="D4:E4"/>
    <mergeCell ref="D23:E2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16673" r:id="rId3" name="Button 1">
              <controlPr defaultSize="0" print="0" autoFill="0" autoPict="0" macro="[0]!Genco_Prices_2">
                <anchor moveWithCells="1" sizeWithCells="1">
                  <from>
                    <xdr:col>7</xdr:col>
                    <xdr:colOff>285750</xdr:colOff>
                    <xdr:row>8</xdr:row>
                    <xdr:rowOff>133350</xdr:rowOff>
                  </from>
                  <to>
                    <xdr:col>10</xdr:col>
                    <xdr:colOff>314325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6676" r:id="rId4" name="Button 4">
              <controlPr defaultSize="0" print="0" autoFill="0" autoPict="0" macro="[0]!control_Click">
                <anchor moveWithCells="1" sizeWithCells="1">
                  <from>
                    <xdr:col>0</xdr:col>
                    <xdr:colOff>180975</xdr:colOff>
                    <xdr:row>0</xdr:row>
                    <xdr:rowOff>114300</xdr:rowOff>
                  </from>
                  <to>
                    <xdr:col>2</xdr:col>
                    <xdr:colOff>466725</xdr:colOff>
                    <xdr:row>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3">
    <pageSetUpPr fitToPage="1"/>
  </sheetPr>
  <dimension ref="A1:BC149"/>
  <sheetViews>
    <sheetView showGridLines="0" zoomScale="90" zoomScaleNormal="9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.140625" defaultRowHeight="12.2" customHeight="1" outlineLevelRow="1"/>
  <cols>
    <col min="1" max="1" width="4.5703125" style="3" customWidth="1"/>
    <col min="2" max="2" width="32.5703125" style="3" customWidth="1"/>
    <col min="3" max="3" width="11.42578125" style="5" customWidth="1"/>
    <col min="4" max="4" width="11.140625" style="3" customWidth="1"/>
    <col min="5" max="5" width="9.42578125" style="3" bestFit="1" customWidth="1"/>
    <col min="6" max="6" width="11.42578125" style="3" bestFit="1" customWidth="1"/>
    <col min="7" max="7" width="11.42578125" style="3" customWidth="1"/>
    <col min="8" max="8" width="9.140625" style="3"/>
    <col min="9" max="9" width="24.140625" style="3" customWidth="1"/>
    <col min="10" max="10" width="11.85546875" style="5" customWidth="1"/>
    <col min="11" max="44" width="10.5703125" style="3" customWidth="1"/>
    <col min="45" max="16384" width="9.140625" style="3"/>
  </cols>
  <sheetData>
    <row r="1" spans="1:55" ht="12.95" customHeight="1">
      <c r="A1" s="30"/>
      <c r="B1" s="32" t="s">
        <v>123</v>
      </c>
      <c r="C1" s="31"/>
      <c r="D1" s="30"/>
      <c r="E1" s="30"/>
      <c r="F1" s="30"/>
      <c r="G1" s="30"/>
      <c r="H1" s="30"/>
      <c r="I1" s="32" t="s">
        <v>123</v>
      </c>
      <c r="J1" s="31"/>
      <c r="K1" s="30"/>
      <c r="L1" s="30"/>
      <c r="M1" s="30"/>
      <c r="N1" s="30"/>
      <c r="O1" s="32" t="s">
        <v>123</v>
      </c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10"/>
    </row>
    <row r="2" spans="1:55" ht="12.95" customHeight="1">
      <c r="A2" s="10"/>
      <c r="B2" s="2" t="s">
        <v>213</v>
      </c>
      <c r="C2" s="11"/>
      <c r="D2" s="10"/>
      <c r="E2" s="10"/>
      <c r="F2" s="10"/>
      <c r="G2" s="10"/>
      <c r="H2" s="10"/>
      <c r="I2" s="10"/>
      <c r="J2" s="11"/>
      <c r="K2" s="10"/>
      <c r="L2" s="10"/>
      <c r="M2" s="10"/>
      <c r="N2" s="10"/>
      <c r="O2" s="12"/>
      <c r="P2" s="21"/>
      <c r="Q2" s="34"/>
      <c r="R2" s="34"/>
      <c r="S2" s="34"/>
      <c r="T2" s="34"/>
      <c r="U2" s="34"/>
      <c r="V2" s="34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</row>
    <row r="3" spans="1:55" ht="12.95" customHeight="1">
      <c r="A3" s="4"/>
      <c r="B3" s="88" t="s">
        <v>120</v>
      </c>
      <c r="C3" s="94"/>
      <c r="D3" s="95"/>
      <c r="E3" s="4"/>
      <c r="F3" s="58" t="s">
        <v>28</v>
      </c>
      <c r="G3" s="4"/>
      <c r="H3" s="4"/>
      <c r="I3" s="136" t="s">
        <v>41</v>
      </c>
      <c r="J3" s="35"/>
      <c r="K3" s="88"/>
      <c r="L3" s="89" t="s">
        <v>39</v>
      </c>
      <c r="M3" s="89"/>
      <c r="N3" s="90"/>
      <c r="O3" s="58"/>
      <c r="P3" s="105"/>
      <c r="Q3" s="105"/>
      <c r="R3" s="105"/>
      <c r="S3" s="105"/>
      <c r="T3" s="105"/>
      <c r="U3" s="105"/>
      <c r="V3" s="10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5" ht="12.95" customHeight="1">
      <c r="A4" s="4"/>
      <c r="B4" s="91" t="str">
        <f>"Enter Values for 1st Year Power = " &amp; NEM_year</f>
        <v>Enter Values for 1st Year Power = 2027</v>
      </c>
      <c r="C4" s="94" t="s">
        <v>22</v>
      </c>
      <c r="D4" s="330" t="s">
        <v>21</v>
      </c>
      <c r="E4" s="4"/>
      <c r="F4" s="137" t="s">
        <v>1</v>
      </c>
      <c r="G4" s="93" t="s">
        <v>7</v>
      </c>
      <c r="H4" s="4"/>
      <c r="I4" s="122"/>
      <c r="J4" s="123"/>
      <c r="K4" s="137">
        <v>-4</v>
      </c>
      <c r="L4" s="87">
        <v>-3</v>
      </c>
      <c r="M4" s="87">
        <v>-2</v>
      </c>
      <c r="N4" s="93">
        <v>-1</v>
      </c>
      <c r="O4" s="87">
        <v>1</v>
      </c>
      <c r="P4" s="87">
        <v>2</v>
      </c>
      <c r="Q4" s="87">
        <v>3</v>
      </c>
      <c r="R4" s="87">
        <v>4</v>
      </c>
      <c r="S4" s="87">
        <v>5</v>
      </c>
      <c r="T4" s="87">
        <v>6</v>
      </c>
      <c r="U4" s="87">
        <v>7</v>
      </c>
      <c r="V4" s="87">
        <v>8</v>
      </c>
      <c r="W4" s="87">
        <v>9</v>
      </c>
      <c r="X4" s="87">
        <v>10</v>
      </c>
      <c r="Y4" s="87">
        <v>11</v>
      </c>
      <c r="Z4" s="87">
        <v>12</v>
      </c>
      <c r="AA4" s="87">
        <v>13</v>
      </c>
      <c r="AB4" s="87">
        <v>14</v>
      </c>
      <c r="AC4" s="87">
        <v>15</v>
      </c>
      <c r="AD4" s="87">
        <v>16</v>
      </c>
      <c r="AE4" s="87">
        <v>17</v>
      </c>
      <c r="AF4" s="87">
        <v>18</v>
      </c>
      <c r="AG4" s="87">
        <v>19</v>
      </c>
      <c r="AH4" s="87">
        <v>20</v>
      </c>
      <c r="AI4" s="87">
        <v>21</v>
      </c>
      <c r="AJ4" s="87">
        <v>22</v>
      </c>
      <c r="AK4" s="87">
        <v>23</v>
      </c>
      <c r="AL4" s="87">
        <v>24</v>
      </c>
      <c r="AM4" s="87">
        <v>25</v>
      </c>
      <c r="AN4" s="87">
        <v>26</v>
      </c>
      <c r="AO4" s="87">
        <v>27</v>
      </c>
      <c r="AP4" s="87">
        <v>28</v>
      </c>
      <c r="AQ4" s="87">
        <v>29</v>
      </c>
      <c r="AR4" s="87">
        <v>30</v>
      </c>
      <c r="AS4" s="87">
        <v>31</v>
      </c>
      <c r="AT4" s="87">
        <v>32</v>
      </c>
      <c r="AU4" s="87">
        <v>33</v>
      </c>
      <c r="AV4" s="87">
        <v>34</v>
      </c>
      <c r="AW4" s="87">
        <v>35</v>
      </c>
      <c r="AX4" s="87">
        <v>36</v>
      </c>
      <c r="AY4" s="87">
        <v>37</v>
      </c>
      <c r="AZ4" s="87">
        <v>38</v>
      </c>
      <c r="BA4" s="87">
        <v>39</v>
      </c>
      <c r="BB4" s="87">
        <v>40</v>
      </c>
      <c r="BC4" s="87">
        <v>41</v>
      </c>
    </row>
    <row r="5" spans="1:55" ht="12.95" customHeight="1">
      <c r="A5" s="4"/>
      <c r="B5" s="23" t="s">
        <v>23</v>
      </c>
      <c r="C5" s="41" t="s">
        <v>5</v>
      </c>
      <c r="D5" s="307">
        <f>'Input Data'!F9</f>
        <v>100</v>
      </c>
      <c r="E5" s="4"/>
      <c r="F5" s="85">
        <v>-4</v>
      </c>
      <c r="G5" s="114">
        <f t="array" ref="G5:G8">TRANSPOSE('Input Data'!I6:L6)</f>
        <v>0</v>
      </c>
      <c r="H5" s="4"/>
      <c r="I5" s="82"/>
      <c r="J5" s="35"/>
      <c r="K5" s="107"/>
      <c r="L5" s="96"/>
      <c r="M5" s="96"/>
      <c r="N5" s="9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2.95" customHeight="1">
      <c r="A6" s="4"/>
      <c r="B6" s="25" t="s">
        <v>24</v>
      </c>
      <c r="C6" s="35" t="s">
        <v>7</v>
      </c>
      <c r="D6" s="215">
        <f>'Input Data'!F10</f>
        <v>0.01</v>
      </c>
      <c r="E6" s="4"/>
      <c r="F6" s="85">
        <v>-3</v>
      </c>
      <c r="G6" s="114">
        <v>0</v>
      </c>
      <c r="H6" s="4"/>
      <c r="I6" s="82" t="s">
        <v>4</v>
      </c>
      <c r="J6" s="35"/>
      <c r="K6" s="107"/>
      <c r="L6" s="96"/>
      <c r="M6" s="96"/>
      <c r="N6" s="97"/>
      <c r="O6" s="4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</row>
    <row r="7" spans="1:55" ht="12.95" customHeight="1">
      <c r="A7" s="4"/>
      <c r="B7" s="25" t="s">
        <v>143</v>
      </c>
      <c r="C7" s="35" t="s">
        <v>7</v>
      </c>
      <c r="D7" s="215">
        <f>'Input Data'!F11</f>
        <v>0.01</v>
      </c>
      <c r="E7" s="4"/>
      <c r="F7" s="85">
        <v>-2</v>
      </c>
      <c r="G7" s="114">
        <v>0.5</v>
      </c>
      <c r="H7" s="4"/>
      <c r="I7" s="36" t="s">
        <v>61</v>
      </c>
      <c r="J7" s="35" t="s">
        <v>6</v>
      </c>
      <c r="K7" s="139"/>
      <c r="L7" s="140"/>
      <c r="M7" s="140"/>
      <c r="N7" s="141"/>
      <c r="O7" s="52">
        <f t="shared" ref="O7:AQ7" si="0">$D$11*O147</f>
        <v>687.25440000000003</v>
      </c>
      <c r="P7" s="52">
        <f t="shared" si="0"/>
        <v>687.25440000000003</v>
      </c>
      <c r="Q7" s="52">
        <f t="shared" si="0"/>
        <v>687.25440000000003</v>
      </c>
      <c r="R7" s="52">
        <f t="shared" si="0"/>
        <v>687.25440000000003</v>
      </c>
      <c r="S7" s="52">
        <f t="shared" si="0"/>
        <v>687.25440000000003</v>
      </c>
      <c r="T7" s="52">
        <f t="shared" si="0"/>
        <v>687.25440000000003</v>
      </c>
      <c r="U7" s="52">
        <f t="shared" si="0"/>
        <v>687.25440000000003</v>
      </c>
      <c r="V7" s="52">
        <f t="shared" si="0"/>
        <v>687.25440000000003</v>
      </c>
      <c r="W7" s="52">
        <f t="shared" si="0"/>
        <v>687.25440000000003</v>
      </c>
      <c r="X7" s="52">
        <f t="shared" si="0"/>
        <v>687.25440000000003</v>
      </c>
      <c r="Y7" s="52">
        <f t="shared" si="0"/>
        <v>687.25440000000003</v>
      </c>
      <c r="Z7" s="52">
        <f t="shared" si="0"/>
        <v>687.25440000000003</v>
      </c>
      <c r="AA7" s="52">
        <f t="shared" si="0"/>
        <v>687.25440000000003</v>
      </c>
      <c r="AB7" s="52">
        <f t="shared" si="0"/>
        <v>687.25440000000003</v>
      </c>
      <c r="AC7" s="52">
        <f t="shared" si="0"/>
        <v>687.25440000000003</v>
      </c>
      <c r="AD7" s="52">
        <f t="shared" si="0"/>
        <v>687.25440000000003</v>
      </c>
      <c r="AE7" s="52">
        <f t="shared" si="0"/>
        <v>687.25440000000003</v>
      </c>
      <c r="AF7" s="52">
        <f t="shared" si="0"/>
        <v>687.25440000000003</v>
      </c>
      <c r="AG7" s="52">
        <f t="shared" si="0"/>
        <v>687.25440000000003</v>
      </c>
      <c r="AH7" s="52">
        <f t="shared" si="0"/>
        <v>687.25440000000003</v>
      </c>
      <c r="AI7" s="52">
        <f t="shared" si="0"/>
        <v>0</v>
      </c>
      <c r="AJ7" s="52">
        <f t="shared" si="0"/>
        <v>0</v>
      </c>
      <c r="AK7" s="52">
        <f t="shared" si="0"/>
        <v>0</v>
      </c>
      <c r="AL7" s="52">
        <f t="shared" si="0"/>
        <v>0</v>
      </c>
      <c r="AM7" s="52">
        <f t="shared" si="0"/>
        <v>0</v>
      </c>
      <c r="AN7" s="52">
        <f t="shared" si="0"/>
        <v>0</v>
      </c>
      <c r="AO7" s="52">
        <f t="shared" si="0"/>
        <v>0</v>
      </c>
      <c r="AP7" s="52">
        <f t="shared" si="0"/>
        <v>0</v>
      </c>
      <c r="AQ7" s="52">
        <f t="shared" si="0"/>
        <v>0</v>
      </c>
      <c r="AR7" s="52">
        <f t="shared" ref="AR7:BC7" si="1">$D$11*AR147</f>
        <v>0</v>
      </c>
      <c r="AS7" s="52">
        <f t="shared" si="1"/>
        <v>0</v>
      </c>
      <c r="AT7" s="52">
        <f t="shared" si="1"/>
        <v>0</v>
      </c>
      <c r="AU7" s="52">
        <f t="shared" si="1"/>
        <v>0</v>
      </c>
      <c r="AV7" s="52">
        <f t="shared" si="1"/>
        <v>0</v>
      </c>
      <c r="AW7" s="52">
        <f t="shared" si="1"/>
        <v>0</v>
      </c>
      <c r="AX7" s="52">
        <f t="shared" si="1"/>
        <v>0</v>
      </c>
      <c r="AY7" s="52">
        <f t="shared" si="1"/>
        <v>0</v>
      </c>
      <c r="AZ7" s="52">
        <f t="shared" si="1"/>
        <v>0</v>
      </c>
      <c r="BA7" s="52">
        <f t="shared" si="1"/>
        <v>0</v>
      </c>
      <c r="BB7" s="52">
        <f t="shared" si="1"/>
        <v>0</v>
      </c>
      <c r="BC7" s="52">
        <f t="shared" si="1"/>
        <v>0</v>
      </c>
    </row>
    <row r="8" spans="1:55" ht="12.95" customHeight="1">
      <c r="A8" s="8"/>
      <c r="B8" s="25" t="s">
        <v>20</v>
      </c>
      <c r="C8" s="35" t="s">
        <v>7</v>
      </c>
      <c r="D8" s="215">
        <f>'Input Data'!F12</f>
        <v>0.8</v>
      </c>
      <c r="E8" s="4"/>
      <c r="F8" s="85">
        <v>-1</v>
      </c>
      <c r="G8" s="142">
        <v>0.5</v>
      </c>
      <c r="H8" s="4"/>
      <c r="I8" s="143" t="s">
        <v>132</v>
      </c>
      <c r="J8" s="35" t="s">
        <v>8</v>
      </c>
      <c r="K8" s="144"/>
      <c r="L8" s="145"/>
      <c r="M8" s="145"/>
      <c r="N8" s="146"/>
      <c r="O8" s="52">
        <f>+NECost * IF(D5=0, 0, 1)</f>
        <v>25151.15023313271</v>
      </c>
      <c r="P8" s="52">
        <f t="shared" ref="P8:AQ8" si="2">O8*P147</f>
        <v>25151.15023313271</v>
      </c>
      <c r="Q8" s="52">
        <f>P8*Q147</f>
        <v>25151.15023313271</v>
      </c>
      <c r="R8" s="52">
        <f t="shared" si="2"/>
        <v>25151.15023313271</v>
      </c>
      <c r="S8" s="52">
        <f t="shared" si="2"/>
        <v>25151.15023313271</v>
      </c>
      <c r="T8" s="52">
        <f t="shared" si="2"/>
        <v>25151.15023313271</v>
      </c>
      <c r="U8" s="52">
        <f t="shared" si="2"/>
        <v>25151.15023313271</v>
      </c>
      <c r="V8" s="52">
        <f t="shared" si="2"/>
        <v>25151.15023313271</v>
      </c>
      <c r="W8" s="52">
        <f t="shared" si="2"/>
        <v>25151.15023313271</v>
      </c>
      <c r="X8" s="52">
        <f t="shared" si="2"/>
        <v>25151.15023313271</v>
      </c>
      <c r="Y8" s="52">
        <f t="shared" si="2"/>
        <v>25151.15023313271</v>
      </c>
      <c r="Z8" s="52">
        <f t="shared" si="2"/>
        <v>25151.15023313271</v>
      </c>
      <c r="AA8" s="52">
        <f t="shared" si="2"/>
        <v>25151.15023313271</v>
      </c>
      <c r="AB8" s="52">
        <f t="shared" si="2"/>
        <v>25151.15023313271</v>
      </c>
      <c r="AC8" s="52">
        <f t="shared" si="2"/>
        <v>25151.15023313271</v>
      </c>
      <c r="AD8" s="52">
        <f t="shared" si="2"/>
        <v>25151.15023313271</v>
      </c>
      <c r="AE8" s="52">
        <f t="shared" si="2"/>
        <v>25151.15023313271</v>
      </c>
      <c r="AF8" s="52">
        <f t="shared" si="2"/>
        <v>25151.15023313271</v>
      </c>
      <c r="AG8" s="52">
        <f t="shared" si="2"/>
        <v>25151.15023313271</v>
      </c>
      <c r="AH8" s="52">
        <f t="shared" si="2"/>
        <v>25151.15023313271</v>
      </c>
      <c r="AI8" s="52">
        <f t="shared" si="2"/>
        <v>0</v>
      </c>
      <c r="AJ8" s="52">
        <f t="shared" si="2"/>
        <v>0</v>
      </c>
      <c r="AK8" s="52">
        <f t="shared" si="2"/>
        <v>0</v>
      </c>
      <c r="AL8" s="52">
        <f t="shared" si="2"/>
        <v>0</v>
      </c>
      <c r="AM8" s="52">
        <f t="shared" si="2"/>
        <v>0</v>
      </c>
      <c r="AN8" s="52">
        <f t="shared" si="2"/>
        <v>0</v>
      </c>
      <c r="AO8" s="52">
        <f t="shared" si="2"/>
        <v>0</v>
      </c>
      <c r="AP8" s="52">
        <f t="shared" si="2"/>
        <v>0</v>
      </c>
      <c r="AQ8" s="52">
        <f t="shared" si="2"/>
        <v>0</v>
      </c>
      <c r="AR8" s="52">
        <f t="shared" ref="AR8" si="3">AQ8*AR147</f>
        <v>0</v>
      </c>
      <c r="AS8" s="52">
        <f t="shared" ref="AS8" si="4">AR8*AS147</f>
        <v>0</v>
      </c>
      <c r="AT8" s="52">
        <f t="shared" ref="AT8" si="5">AS8*AT147</f>
        <v>0</v>
      </c>
      <c r="AU8" s="52">
        <f t="shared" ref="AU8" si="6">AT8*AU147</f>
        <v>0</v>
      </c>
      <c r="AV8" s="52">
        <f t="shared" ref="AV8" si="7">AU8*AV147</f>
        <v>0</v>
      </c>
      <c r="AW8" s="52">
        <f t="shared" ref="AW8" si="8">AV8*AW147</f>
        <v>0</v>
      </c>
      <c r="AX8" s="52">
        <f t="shared" ref="AX8" si="9">AW8*AX147</f>
        <v>0</v>
      </c>
      <c r="AY8" s="52">
        <f t="shared" ref="AY8" si="10">AX8*AY147</f>
        <v>0</v>
      </c>
      <c r="AZ8" s="52">
        <f t="shared" ref="AZ8" si="11">AY8*AZ147</f>
        <v>0</v>
      </c>
      <c r="BA8" s="52">
        <f t="shared" ref="BA8" si="12">AZ8*BA147</f>
        <v>0</v>
      </c>
      <c r="BB8" s="52">
        <f t="shared" ref="BB8" si="13">BA8*BB147</f>
        <v>0</v>
      </c>
      <c r="BC8" s="52">
        <f t="shared" ref="BC8" si="14">BB8*BC147</f>
        <v>0</v>
      </c>
    </row>
    <row r="9" spans="1:55" ht="12.95" customHeight="1">
      <c r="A9" s="4"/>
      <c r="B9" s="25" t="s">
        <v>116</v>
      </c>
      <c r="C9" s="35" t="s">
        <v>7</v>
      </c>
      <c r="D9" s="215">
        <f>'Input Data'!F13</f>
        <v>1</v>
      </c>
      <c r="E9" s="4"/>
      <c r="F9" s="27"/>
      <c r="G9" s="99">
        <f>IF(SUM(G5:G8)&lt;&gt;1, "Error", 1)</f>
        <v>1</v>
      </c>
      <c r="H9" s="4"/>
      <c r="I9" s="143" t="s">
        <v>137</v>
      </c>
      <c r="J9" s="35" t="s">
        <v>8</v>
      </c>
      <c r="K9" s="144"/>
      <c r="L9" s="145"/>
      <c r="M9" s="145"/>
      <c r="N9" s="146"/>
      <c r="O9" s="52">
        <f>IF(O7=0, 0, O19 / O7)</f>
        <v>11360.300994435245</v>
      </c>
      <c r="P9" s="52">
        <f t="shared" ref="P9:AQ9" si="15">IF(P7=0, 0, P19 / P7)</f>
        <v>11360.300994435245</v>
      </c>
      <c r="Q9" s="52">
        <f t="shared" si="15"/>
        <v>11360.300994435245</v>
      </c>
      <c r="R9" s="52">
        <f t="shared" si="15"/>
        <v>11360.300994435245</v>
      </c>
      <c r="S9" s="52">
        <f t="shared" si="15"/>
        <v>11360.300994435245</v>
      </c>
      <c r="T9" s="52">
        <f t="shared" si="15"/>
        <v>11360.300994435245</v>
      </c>
      <c r="U9" s="52">
        <f t="shared" si="15"/>
        <v>11360.300994435245</v>
      </c>
      <c r="V9" s="52">
        <f t="shared" si="15"/>
        <v>11360.300994435245</v>
      </c>
      <c r="W9" s="52">
        <f t="shared" si="15"/>
        <v>11360.300994435245</v>
      </c>
      <c r="X9" s="52">
        <f t="shared" si="15"/>
        <v>11360.300994435245</v>
      </c>
      <c r="Y9" s="52">
        <f t="shared" si="15"/>
        <v>11360.300994435245</v>
      </c>
      <c r="Z9" s="52">
        <f t="shared" si="15"/>
        <v>11360.300994435245</v>
      </c>
      <c r="AA9" s="52">
        <f t="shared" si="15"/>
        <v>11360.300994435245</v>
      </c>
      <c r="AB9" s="52">
        <f t="shared" si="15"/>
        <v>11360.300994435245</v>
      </c>
      <c r="AC9" s="52">
        <f t="shared" si="15"/>
        <v>11360.300994435245</v>
      </c>
      <c r="AD9" s="52">
        <f t="shared" si="15"/>
        <v>11360.300994435245</v>
      </c>
      <c r="AE9" s="52">
        <f t="shared" si="15"/>
        <v>11360.300994435245</v>
      </c>
      <c r="AF9" s="52">
        <f t="shared" si="15"/>
        <v>11360.300994435245</v>
      </c>
      <c r="AG9" s="52">
        <f t="shared" si="15"/>
        <v>11360.300994435245</v>
      </c>
      <c r="AH9" s="52">
        <f t="shared" si="15"/>
        <v>11360.300994435245</v>
      </c>
      <c r="AI9" s="52">
        <f t="shared" si="15"/>
        <v>0</v>
      </c>
      <c r="AJ9" s="52">
        <f t="shared" si="15"/>
        <v>0</v>
      </c>
      <c r="AK9" s="52">
        <f t="shared" si="15"/>
        <v>0</v>
      </c>
      <c r="AL9" s="52">
        <f t="shared" si="15"/>
        <v>0</v>
      </c>
      <c r="AM9" s="52">
        <f t="shared" si="15"/>
        <v>0</v>
      </c>
      <c r="AN9" s="52">
        <f t="shared" si="15"/>
        <v>0</v>
      </c>
      <c r="AO9" s="52">
        <f t="shared" si="15"/>
        <v>0</v>
      </c>
      <c r="AP9" s="52">
        <f t="shared" si="15"/>
        <v>0</v>
      </c>
      <c r="AQ9" s="52">
        <f t="shared" si="15"/>
        <v>0</v>
      </c>
      <c r="AR9" s="52">
        <f t="shared" ref="AR9:BC9" si="16">IF(AR7=0, 0, AR19 / AR7)</f>
        <v>0</v>
      </c>
      <c r="AS9" s="52">
        <f t="shared" si="16"/>
        <v>0</v>
      </c>
      <c r="AT9" s="52">
        <f t="shared" si="16"/>
        <v>0</v>
      </c>
      <c r="AU9" s="52">
        <f t="shared" si="16"/>
        <v>0</v>
      </c>
      <c r="AV9" s="52">
        <f t="shared" si="16"/>
        <v>0</v>
      </c>
      <c r="AW9" s="52">
        <f t="shared" si="16"/>
        <v>0</v>
      </c>
      <c r="AX9" s="52">
        <f t="shared" si="16"/>
        <v>0</v>
      </c>
      <c r="AY9" s="52">
        <f t="shared" si="16"/>
        <v>0</v>
      </c>
      <c r="AZ9" s="52">
        <f t="shared" si="16"/>
        <v>0</v>
      </c>
      <c r="BA9" s="52">
        <f t="shared" si="16"/>
        <v>0</v>
      </c>
      <c r="BB9" s="52">
        <f t="shared" si="16"/>
        <v>0</v>
      </c>
      <c r="BC9" s="52">
        <f t="shared" si="16"/>
        <v>0</v>
      </c>
    </row>
    <row r="10" spans="1:55" ht="12.95" customHeight="1">
      <c r="A10" s="4"/>
      <c r="B10" s="25" t="s">
        <v>25</v>
      </c>
      <c r="C10" s="35" t="s">
        <v>6</v>
      </c>
      <c r="D10" s="53">
        <f>D5*8.766*D8</f>
        <v>701.28000000000009</v>
      </c>
      <c r="E10" s="4"/>
      <c r="F10" s="4"/>
      <c r="G10" s="4"/>
      <c r="H10" s="4"/>
      <c r="I10" s="143" t="s">
        <v>135</v>
      </c>
      <c r="J10" s="35" t="s">
        <v>8</v>
      </c>
      <c r="K10" s="144"/>
      <c r="L10" s="145"/>
      <c r="M10" s="145"/>
      <c r="N10" s="146"/>
      <c r="O10" s="52">
        <f>IF(O7=0,0, (O20+O23+O24) / O7)</f>
        <v>1030.8742573178608</v>
      </c>
      <c r="P10" s="52">
        <f>IF(P7=0,0, (P20+P23+P24) / P7)</f>
        <v>1030.8742573178608</v>
      </c>
      <c r="Q10" s="52">
        <f t="shared" ref="Q10:AQ10" si="17">IF(Q7=0,0, (Q20+Q23+Q24) / Q7)</f>
        <v>1030.8742573178608</v>
      </c>
      <c r="R10" s="52">
        <f t="shared" si="17"/>
        <v>1030.8742573178608</v>
      </c>
      <c r="S10" s="52">
        <f t="shared" si="17"/>
        <v>1030.8742573178608</v>
      </c>
      <c r="T10" s="52">
        <f t="shared" si="17"/>
        <v>1030.8742573178608</v>
      </c>
      <c r="U10" s="52">
        <f t="shared" si="17"/>
        <v>1030.8742573178608</v>
      </c>
      <c r="V10" s="52">
        <f t="shared" si="17"/>
        <v>1030.8742573178608</v>
      </c>
      <c r="W10" s="52">
        <f t="shared" si="17"/>
        <v>1030.8742573178608</v>
      </c>
      <c r="X10" s="52">
        <f t="shared" si="17"/>
        <v>1030.8742573178608</v>
      </c>
      <c r="Y10" s="52">
        <f t="shared" si="17"/>
        <v>1030.8742573178608</v>
      </c>
      <c r="Z10" s="52">
        <f t="shared" si="17"/>
        <v>1030.8742573178608</v>
      </c>
      <c r="AA10" s="52">
        <f t="shared" si="17"/>
        <v>1030.8742573178608</v>
      </c>
      <c r="AB10" s="52">
        <f t="shared" si="17"/>
        <v>1030.8742573178608</v>
      </c>
      <c r="AC10" s="52">
        <f t="shared" si="17"/>
        <v>1030.8742573178608</v>
      </c>
      <c r="AD10" s="52">
        <f t="shared" si="17"/>
        <v>1030.8742573178608</v>
      </c>
      <c r="AE10" s="52">
        <f t="shared" si="17"/>
        <v>1030.8742573178608</v>
      </c>
      <c r="AF10" s="52">
        <f t="shared" si="17"/>
        <v>1030.8742573178608</v>
      </c>
      <c r="AG10" s="52">
        <f t="shared" si="17"/>
        <v>1030.8742573178608</v>
      </c>
      <c r="AH10" s="52">
        <f t="shared" si="17"/>
        <v>1030.8742573178608</v>
      </c>
      <c r="AI10" s="52">
        <f t="shared" si="17"/>
        <v>0</v>
      </c>
      <c r="AJ10" s="52">
        <f t="shared" si="17"/>
        <v>0</v>
      </c>
      <c r="AK10" s="52">
        <f t="shared" si="17"/>
        <v>0</v>
      </c>
      <c r="AL10" s="52">
        <f t="shared" si="17"/>
        <v>0</v>
      </c>
      <c r="AM10" s="52">
        <f t="shared" si="17"/>
        <v>0</v>
      </c>
      <c r="AN10" s="52">
        <f t="shared" si="17"/>
        <v>0</v>
      </c>
      <c r="AO10" s="52">
        <f t="shared" si="17"/>
        <v>0</v>
      </c>
      <c r="AP10" s="52">
        <f t="shared" si="17"/>
        <v>0</v>
      </c>
      <c r="AQ10" s="52">
        <f t="shared" si="17"/>
        <v>0</v>
      </c>
      <c r="AR10" s="52">
        <f t="shared" ref="AR10:BC10" si="18">IF(AR7=0,0, (AR20+AR23+AR24) / AR7)</f>
        <v>0</v>
      </c>
      <c r="AS10" s="52">
        <f t="shared" si="18"/>
        <v>0</v>
      </c>
      <c r="AT10" s="52">
        <f t="shared" si="18"/>
        <v>0</v>
      </c>
      <c r="AU10" s="52">
        <f t="shared" si="18"/>
        <v>0</v>
      </c>
      <c r="AV10" s="52">
        <f t="shared" si="18"/>
        <v>0</v>
      </c>
      <c r="AW10" s="52">
        <f t="shared" si="18"/>
        <v>0</v>
      </c>
      <c r="AX10" s="52">
        <f t="shared" si="18"/>
        <v>0</v>
      </c>
      <c r="AY10" s="52">
        <f t="shared" si="18"/>
        <v>0</v>
      </c>
      <c r="AZ10" s="52">
        <f t="shared" si="18"/>
        <v>0</v>
      </c>
      <c r="BA10" s="52">
        <f t="shared" si="18"/>
        <v>0</v>
      </c>
      <c r="BB10" s="52">
        <f t="shared" si="18"/>
        <v>0</v>
      </c>
      <c r="BC10" s="52">
        <f t="shared" si="18"/>
        <v>0</v>
      </c>
    </row>
    <row r="11" spans="1:55" ht="12.95" customHeight="1">
      <c r="A11" s="4"/>
      <c r="B11" s="25" t="s">
        <v>117</v>
      </c>
      <c r="C11" s="35" t="s">
        <v>6</v>
      </c>
      <c r="D11" s="53">
        <f>D10*(1-D6-D7)</f>
        <v>687.25440000000003</v>
      </c>
      <c r="E11" s="4"/>
      <c r="F11" s="4"/>
      <c r="G11" s="4"/>
      <c r="H11" s="4"/>
      <c r="I11" s="143" t="s">
        <v>134</v>
      </c>
      <c r="J11" s="35" t="s">
        <v>8</v>
      </c>
      <c r="K11" s="144"/>
      <c r="L11" s="145"/>
      <c r="M11" s="145"/>
      <c r="N11" s="146"/>
      <c r="O11" s="52">
        <f>IF(O7 = 0,0,O21 / O7)</f>
        <v>41089.34905263158</v>
      </c>
      <c r="P11" s="52">
        <f t="shared" ref="P11:AQ11" si="19">IF(P7 = 0,0,P21 / P7)</f>
        <v>41089.34905263158</v>
      </c>
      <c r="Q11" s="52">
        <f t="shared" si="19"/>
        <v>41089.34905263158</v>
      </c>
      <c r="R11" s="52">
        <f t="shared" si="19"/>
        <v>41089.34905263158</v>
      </c>
      <c r="S11" s="52">
        <f t="shared" si="19"/>
        <v>41089.34905263158</v>
      </c>
      <c r="T11" s="52">
        <f t="shared" si="19"/>
        <v>41089.34905263158</v>
      </c>
      <c r="U11" s="52">
        <f t="shared" si="19"/>
        <v>41089.34905263158</v>
      </c>
      <c r="V11" s="52">
        <f t="shared" si="19"/>
        <v>41089.34905263158</v>
      </c>
      <c r="W11" s="52">
        <f t="shared" si="19"/>
        <v>41089.34905263158</v>
      </c>
      <c r="X11" s="52">
        <f t="shared" si="19"/>
        <v>41089.34905263158</v>
      </c>
      <c r="Y11" s="52">
        <f t="shared" si="19"/>
        <v>41089.34905263158</v>
      </c>
      <c r="Z11" s="52">
        <f t="shared" si="19"/>
        <v>41089.34905263158</v>
      </c>
      <c r="AA11" s="52">
        <f t="shared" si="19"/>
        <v>41089.34905263158</v>
      </c>
      <c r="AB11" s="52">
        <f t="shared" si="19"/>
        <v>41089.34905263158</v>
      </c>
      <c r="AC11" s="52">
        <f t="shared" si="19"/>
        <v>41089.34905263158</v>
      </c>
      <c r="AD11" s="52">
        <f t="shared" si="19"/>
        <v>41089.34905263158</v>
      </c>
      <c r="AE11" s="52">
        <f t="shared" si="19"/>
        <v>41089.34905263158</v>
      </c>
      <c r="AF11" s="52">
        <f t="shared" si="19"/>
        <v>41089.34905263158</v>
      </c>
      <c r="AG11" s="52">
        <f t="shared" si="19"/>
        <v>41089.34905263158</v>
      </c>
      <c r="AH11" s="52">
        <f t="shared" si="19"/>
        <v>41089.34905263158</v>
      </c>
      <c r="AI11" s="52">
        <f t="shared" si="19"/>
        <v>0</v>
      </c>
      <c r="AJ11" s="52">
        <f t="shared" si="19"/>
        <v>0</v>
      </c>
      <c r="AK11" s="52">
        <f t="shared" si="19"/>
        <v>0</v>
      </c>
      <c r="AL11" s="52">
        <f t="shared" si="19"/>
        <v>0</v>
      </c>
      <c r="AM11" s="52">
        <f t="shared" si="19"/>
        <v>0</v>
      </c>
      <c r="AN11" s="52">
        <f t="shared" si="19"/>
        <v>0</v>
      </c>
      <c r="AO11" s="52">
        <f t="shared" si="19"/>
        <v>0</v>
      </c>
      <c r="AP11" s="52">
        <f t="shared" si="19"/>
        <v>0</v>
      </c>
      <c r="AQ11" s="52">
        <f t="shared" si="19"/>
        <v>0</v>
      </c>
      <c r="AR11" s="52">
        <f t="shared" ref="AR11:BC11" si="20">IF(AR7 = 0,0,AR21 / AR7)</f>
        <v>0</v>
      </c>
      <c r="AS11" s="52">
        <f t="shared" si="20"/>
        <v>0</v>
      </c>
      <c r="AT11" s="52">
        <f t="shared" si="20"/>
        <v>0</v>
      </c>
      <c r="AU11" s="52">
        <f t="shared" si="20"/>
        <v>0</v>
      </c>
      <c r="AV11" s="52">
        <f t="shared" si="20"/>
        <v>0</v>
      </c>
      <c r="AW11" s="52">
        <f t="shared" si="20"/>
        <v>0</v>
      </c>
      <c r="AX11" s="52">
        <f t="shared" si="20"/>
        <v>0</v>
      </c>
      <c r="AY11" s="52">
        <f t="shared" si="20"/>
        <v>0</v>
      </c>
      <c r="AZ11" s="52">
        <f t="shared" si="20"/>
        <v>0</v>
      </c>
      <c r="BA11" s="52">
        <f t="shared" si="20"/>
        <v>0</v>
      </c>
      <c r="BB11" s="52">
        <f t="shared" si="20"/>
        <v>0</v>
      </c>
      <c r="BC11" s="52">
        <f t="shared" si="20"/>
        <v>0</v>
      </c>
    </row>
    <row r="12" spans="1:55" ht="12.95" customHeight="1">
      <c r="A12" s="52"/>
      <c r="B12" s="25" t="s">
        <v>122</v>
      </c>
      <c r="C12" s="35" t="s">
        <v>114</v>
      </c>
      <c r="D12" s="53">
        <f>D11 * 3.41214</f>
        <v>2345.0082284160003</v>
      </c>
      <c r="E12" s="4"/>
      <c r="F12" s="4"/>
      <c r="G12" s="4"/>
      <c r="H12" s="4"/>
      <c r="I12" s="147" t="s">
        <v>133</v>
      </c>
      <c r="J12" s="148" t="s">
        <v>8</v>
      </c>
      <c r="K12" s="149"/>
      <c r="L12" s="150"/>
      <c r="M12" s="150"/>
      <c r="N12" s="151"/>
      <c r="O12" s="108">
        <f>+O8+O11+O10+O9</f>
        <v>78631.674537517392</v>
      </c>
      <c r="P12" s="108">
        <f t="shared" ref="P12:AQ12" si="21">+P8+P11+P10+P9</f>
        <v>78631.674537517392</v>
      </c>
      <c r="Q12" s="108">
        <f t="shared" si="21"/>
        <v>78631.674537517392</v>
      </c>
      <c r="R12" s="108">
        <f t="shared" si="21"/>
        <v>78631.674537517392</v>
      </c>
      <c r="S12" s="108">
        <f t="shared" si="21"/>
        <v>78631.674537517392</v>
      </c>
      <c r="T12" s="108">
        <f t="shared" si="21"/>
        <v>78631.674537517392</v>
      </c>
      <c r="U12" s="108">
        <f t="shared" si="21"/>
        <v>78631.674537517392</v>
      </c>
      <c r="V12" s="108">
        <f t="shared" si="21"/>
        <v>78631.674537517392</v>
      </c>
      <c r="W12" s="108">
        <f t="shared" si="21"/>
        <v>78631.674537517392</v>
      </c>
      <c r="X12" s="108">
        <f t="shared" si="21"/>
        <v>78631.674537517392</v>
      </c>
      <c r="Y12" s="108">
        <f t="shared" si="21"/>
        <v>78631.674537517392</v>
      </c>
      <c r="Z12" s="108">
        <f t="shared" si="21"/>
        <v>78631.674537517392</v>
      </c>
      <c r="AA12" s="108">
        <f t="shared" si="21"/>
        <v>78631.674537517392</v>
      </c>
      <c r="AB12" s="108">
        <f t="shared" si="21"/>
        <v>78631.674537517392</v>
      </c>
      <c r="AC12" s="108">
        <f t="shared" si="21"/>
        <v>78631.674537517392</v>
      </c>
      <c r="AD12" s="108">
        <f t="shared" si="21"/>
        <v>78631.674537517392</v>
      </c>
      <c r="AE12" s="108">
        <f t="shared" si="21"/>
        <v>78631.674537517392</v>
      </c>
      <c r="AF12" s="108">
        <f t="shared" si="21"/>
        <v>78631.674537517392</v>
      </c>
      <c r="AG12" s="108">
        <f t="shared" si="21"/>
        <v>78631.674537517392</v>
      </c>
      <c r="AH12" s="108">
        <f t="shared" si="21"/>
        <v>78631.674537517392</v>
      </c>
      <c r="AI12" s="108">
        <f t="shared" si="21"/>
        <v>0</v>
      </c>
      <c r="AJ12" s="108">
        <f t="shared" si="21"/>
        <v>0</v>
      </c>
      <c r="AK12" s="108">
        <f t="shared" si="21"/>
        <v>0</v>
      </c>
      <c r="AL12" s="108">
        <f t="shared" si="21"/>
        <v>0</v>
      </c>
      <c r="AM12" s="108">
        <f t="shared" si="21"/>
        <v>0</v>
      </c>
      <c r="AN12" s="108">
        <f t="shared" si="21"/>
        <v>0</v>
      </c>
      <c r="AO12" s="108">
        <f t="shared" si="21"/>
        <v>0</v>
      </c>
      <c r="AP12" s="108">
        <f t="shared" si="21"/>
        <v>0</v>
      </c>
      <c r="AQ12" s="108">
        <f t="shared" si="21"/>
        <v>0</v>
      </c>
      <c r="AR12" s="108">
        <f t="shared" ref="AR12:BC12" si="22">+AR8+AR11+AR10+AR9</f>
        <v>0</v>
      </c>
      <c r="AS12" s="108">
        <f t="shared" si="22"/>
        <v>0</v>
      </c>
      <c r="AT12" s="108">
        <f t="shared" si="22"/>
        <v>0</v>
      </c>
      <c r="AU12" s="108">
        <f t="shared" si="22"/>
        <v>0</v>
      </c>
      <c r="AV12" s="108">
        <f t="shared" si="22"/>
        <v>0</v>
      </c>
      <c r="AW12" s="108">
        <f t="shared" si="22"/>
        <v>0</v>
      </c>
      <c r="AX12" s="108">
        <f t="shared" si="22"/>
        <v>0</v>
      </c>
      <c r="AY12" s="108">
        <f t="shared" si="22"/>
        <v>0</v>
      </c>
      <c r="AZ12" s="108">
        <f t="shared" si="22"/>
        <v>0</v>
      </c>
      <c r="BA12" s="108">
        <f t="shared" si="22"/>
        <v>0</v>
      </c>
      <c r="BB12" s="108">
        <f t="shared" si="22"/>
        <v>0</v>
      </c>
      <c r="BC12" s="108">
        <f t="shared" si="22"/>
        <v>0</v>
      </c>
    </row>
    <row r="13" spans="1:55" ht="12.95" customHeight="1">
      <c r="A13" s="4"/>
      <c r="B13" s="25" t="s">
        <v>90</v>
      </c>
      <c r="C13" s="35" t="s">
        <v>7</v>
      </c>
      <c r="D13" s="152">
        <f>'Input Data'!F17</f>
        <v>0.38</v>
      </c>
      <c r="E13" s="4"/>
      <c r="F13" s="4"/>
      <c r="G13" s="4"/>
      <c r="H13" s="4"/>
      <c r="I13" s="153"/>
      <c r="J13" s="154"/>
      <c r="K13" s="155"/>
      <c r="L13" s="156"/>
      <c r="M13" s="156"/>
      <c r="N13" s="157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</row>
    <row r="14" spans="1:55" ht="12.95" customHeight="1">
      <c r="A14" s="4"/>
      <c r="B14" s="25" t="s">
        <v>144</v>
      </c>
      <c r="C14" s="35" t="s">
        <v>114</v>
      </c>
      <c r="D14" s="53">
        <f>D12/D13</f>
        <v>6171.0742853052634</v>
      </c>
      <c r="E14" s="4"/>
      <c r="F14" s="4"/>
      <c r="G14" s="4"/>
      <c r="H14" s="4"/>
      <c r="I14" s="153"/>
      <c r="J14" s="154"/>
      <c r="K14" s="155"/>
      <c r="L14" s="156"/>
      <c r="M14" s="156"/>
      <c r="N14" s="157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</row>
    <row r="15" spans="1:55" ht="12.95" customHeight="1">
      <c r="A15" s="4"/>
      <c r="B15" s="102" t="s">
        <v>110</v>
      </c>
      <c r="C15" s="103" t="s">
        <v>115</v>
      </c>
      <c r="D15" s="159">
        <f>'Input Data'!F26</f>
        <v>2.6</v>
      </c>
      <c r="E15" s="4"/>
      <c r="F15" s="4"/>
      <c r="G15" s="4"/>
      <c r="H15" s="4"/>
      <c r="I15" s="82" t="s">
        <v>32</v>
      </c>
      <c r="J15" s="35" t="s">
        <v>69</v>
      </c>
      <c r="K15" s="109"/>
      <c r="L15" s="110"/>
      <c r="M15" s="110"/>
      <c r="N15" s="111"/>
      <c r="O15" s="83">
        <f>O12 * O7 * $D9</f>
        <v>54039964.305276796</v>
      </c>
      <c r="P15" s="83">
        <f t="shared" ref="P15:AQ15" si="23">P12 * P7 * $D9</f>
        <v>54039964.305276796</v>
      </c>
      <c r="Q15" s="83">
        <f t="shared" si="23"/>
        <v>54039964.305276796</v>
      </c>
      <c r="R15" s="83">
        <f t="shared" si="23"/>
        <v>54039964.305276796</v>
      </c>
      <c r="S15" s="83">
        <f t="shared" si="23"/>
        <v>54039964.305276796</v>
      </c>
      <c r="T15" s="83">
        <f t="shared" si="23"/>
        <v>54039964.305276796</v>
      </c>
      <c r="U15" s="83">
        <f t="shared" si="23"/>
        <v>54039964.305276796</v>
      </c>
      <c r="V15" s="83">
        <f t="shared" si="23"/>
        <v>54039964.305276796</v>
      </c>
      <c r="W15" s="83">
        <f t="shared" si="23"/>
        <v>54039964.305276796</v>
      </c>
      <c r="X15" s="83">
        <f t="shared" si="23"/>
        <v>54039964.305276796</v>
      </c>
      <c r="Y15" s="83">
        <f t="shared" si="23"/>
        <v>54039964.305276796</v>
      </c>
      <c r="Z15" s="83">
        <f t="shared" si="23"/>
        <v>54039964.305276796</v>
      </c>
      <c r="AA15" s="83">
        <f t="shared" si="23"/>
        <v>54039964.305276796</v>
      </c>
      <c r="AB15" s="83">
        <f t="shared" si="23"/>
        <v>54039964.305276796</v>
      </c>
      <c r="AC15" s="83">
        <f t="shared" si="23"/>
        <v>54039964.305276796</v>
      </c>
      <c r="AD15" s="83">
        <f t="shared" si="23"/>
        <v>54039964.305276796</v>
      </c>
      <c r="AE15" s="83">
        <f t="shared" si="23"/>
        <v>54039964.305276796</v>
      </c>
      <c r="AF15" s="83">
        <f t="shared" si="23"/>
        <v>54039964.305276796</v>
      </c>
      <c r="AG15" s="83">
        <f t="shared" si="23"/>
        <v>54039964.305276796</v>
      </c>
      <c r="AH15" s="83">
        <f t="shared" si="23"/>
        <v>54039964.305276796</v>
      </c>
      <c r="AI15" s="83">
        <f t="shared" si="23"/>
        <v>0</v>
      </c>
      <c r="AJ15" s="83">
        <f t="shared" si="23"/>
        <v>0</v>
      </c>
      <c r="AK15" s="83">
        <f t="shared" si="23"/>
        <v>0</v>
      </c>
      <c r="AL15" s="83">
        <f t="shared" si="23"/>
        <v>0</v>
      </c>
      <c r="AM15" s="83">
        <f t="shared" si="23"/>
        <v>0</v>
      </c>
      <c r="AN15" s="83">
        <f t="shared" si="23"/>
        <v>0</v>
      </c>
      <c r="AO15" s="83">
        <f t="shared" si="23"/>
        <v>0</v>
      </c>
      <c r="AP15" s="83">
        <f t="shared" si="23"/>
        <v>0</v>
      </c>
      <c r="AQ15" s="83">
        <f t="shared" si="23"/>
        <v>0</v>
      </c>
      <c r="AR15" s="83">
        <f t="shared" ref="AR15:BC15" si="24">AR12 * AR7 * $D9</f>
        <v>0</v>
      </c>
      <c r="AS15" s="83">
        <f t="shared" si="24"/>
        <v>0</v>
      </c>
      <c r="AT15" s="83">
        <f t="shared" si="24"/>
        <v>0</v>
      </c>
      <c r="AU15" s="83">
        <f t="shared" si="24"/>
        <v>0</v>
      </c>
      <c r="AV15" s="83">
        <f t="shared" si="24"/>
        <v>0</v>
      </c>
      <c r="AW15" s="83">
        <f t="shared" si="24"/>
        <v>0</v>
      </c>
      <c r="AX15" s="83">
        <f t="shared" si="24"/>
        <v>0</v>
      </c>
      <c r="AY15" s="83">
        <f t="shared" si="24"/>
        <v>0</v>
      </c>
      <c r="AZ15" s="83">
        <f t="shared" si="24"/>
        <v>0</v>
      </c>
      <c r="BA15" s="83">
        <f t="shared" si="24"/>
        <v>0</v>
      </c>
      <c r="BB15" s="83">
        <f t="shared" si="24"/>
        <v>0</v>
      </c>
      <c r="BC15" s="83">
        <f t="shared" si="24"/>
        <v>0</v>
      </c>
    </row>
    <row r="16" spans="1:55" ht="12.95" customHeight="1">
      <c r="A16" s="4"/>
      <c r="B16" s="25" t="s">
        <v>85</v>
      </c>
      <c r="C16" s="35" t="s">
        <v>87</v>
      </c>
      <c r="D16" s="160">
        <f>'Input Data'!F25</f>
        <v>1600</v>
      </c>
      <c r="E16" s="4"/>
      <c r="F16" s="4"/>
      <c r="G16" s="4"/>
      <c r="H16" s="4"/>
      <c r="I16" s="25"/>
      <c r="J16" s="35"/>
      <c r="K16" s="107"/>
      <c r="L16" s="96"/>
      <c r="M16" s="96"/>
      <c r="N16" s="9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</row>
    <row r="17" spans="1:55" ht="12.95" customHeight="1">
      <c r="A17" s="4"/>
      <c r="B17" s="25" t="s">
        <v>110</v>
      </c>
      <c r="C17" s="35" t="s">
        <v>83</v>
      </c>
      <c r="D17" s="104">
        <f>D15*D16</f>
        <v>4160</v>
      </c>
      <c r="E17" s="4"/>
      <c r="F17" s="4"/>
      <c r="G17" s="4"/>
      <c r="H17" s="4"/>
      <c r="I17" s="82" t="s">
        <v>33</v>
      </c>
      <c r="J17" s="35"/>
      <c r="K17" s="107"/>
      <c r="L17" s="96"/>
      <c r="M17" s="96"/>
      <c r="N17" s="97"/>
      <c r="O17" s="70"/>
      <c r="P17" s="11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</row>
    <row r="18" spans="1:55" ht="12.95" customHeight="1">
      <c r="A18" s="4"/>
      <c r="B18" s="25" t="s">
        <v>89</v>
      </c>
      <c r="C18" s="35" t="s">
        <v>86</v>
      </c>
      <c r="D18" s="72">
        <v>1.1000000000000001</v>
      </c>
      <c r="E18" s="8"/>
      <c r="F18" s="4"/>
      <c r="G18" s="4"/>
      <c r="H18" s="4"/>
      <c r="I18" s="36" t="s">
        <v>30</v>
      </c>
      <c r="J18" s="35" t="s">
        <v>69</v>
      </c>
      <c r="K18" s="107">
        <f>$G$5*$D$21</f>
        <v>0</v>
      </c>
      <c r="L18" s="96">
        <f>$G$6*$D$21</f>
        <v>0</v>
      </c>
      <c r="M18" s="96">
        <f>$G$7*$D$21</f>
        <v>28000000</v>
      </c>
      <c r="N18" s="97">
        <f>$G$8*$D$21</f>
        <v>28000000</v>
      </c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</row>
    <row r="19" spans="1:55" ht="12.95" customHeight="1">
      <c r="A19" s="4"/>
      <c r="B19" s="100" t="s">
        <v>131</v>
      </c>
      <c r="C19" s="101" t="s">
        <v>69</v>
      </c>
      <c r="D19" s="60">
        <f>D14 * D17 * D18</f>
        <v>28238835.929556888</v>
      </c>
      <c r="E19" s="8"/>
      <c r="F19" s="4"/>
      <c r="G19" s="4"/>
      <c r="H19" s="4"/>
      <c r="I19" s="36" t="s">
        <v>9</v>
      </c>
      <c r="J19" s="35" t="s">
        <v>69</v>
      </c>
      <c r="K19" s="107"/>
      <c r="L19" s="96"/>
      <c r="M19" s="96"/>
      <c r="N19" s="97"/>
      <c r="O19" s="52">
        <f t="shared" ref="O19:AQ19" si="25">$D$23 *  O147</f>
        <v>7807416.8437499981</v>
      </c>
      <c r="P19" s="52">
        <f t="shared" si="25"/>
        <v>7807416.8437499981</v>
      </c>
      <c r="Q19" s="52">
        <f t="shared" si="25"/>
        <v>7807416.8437499981</v>
      </c>
      <c r="R19" s="52">
        <f t="shared" si="25"/>
        <v>7807416.8437499981</v>
      </c>
      <c r="S19" s="52">
        <f t="shared" si="25"/>
        <v>7807416.8437499981</v>
      </c>
      <c r="T19" s="52">
        <f t="shared" si="25"/>
        <v>7807416.8437499981</v>
      </c>
      <c r="U19" s="52">
        <f t="shared" si="25"/>
        <v>7807416.8437499981</v>
      </c>
      <c r="V19" s="52">
        <f t="shared" si="25"/>
        <v>7807416.8437499981</v>
      </c>
      <c r="W19" s="52">
        <f t="shared" si="25"/>
        <v>7807416.8437499981</v>
      </c>
      <c r="X19" s="52">
        <f t="shared" si="25"/>
        <v>7807416.8437499981</v>
      </c>
      <c r="Y19" s="52">
        <f t="shared" si="25"/>
        <v>7807416.8437499981</v>
      </c>
      <c r="Z19" s="52">
        <f t="shared" si="25"/>
        <v>7807416.8437499981</v>
      </c>
      <c r="AA19" s="52">
        <f t="shared" si="25"/>
        <v>7807416.8437499981</v>
      </c>
      <c r="AB19" s="52">
        <f t="shared" si="25"/>
        <v>7807416.8437499981</v>
      </c>
      <c r="AC19" s="52">
        <f t="shared" si="25"/>
        <v>7807416.8437499981</v>
      </c>
      <c r="AD19" s="52">
        <f t="shared" si="25"/>
        <v>7807416.8437499981</v>
      </c>
      <c r="AE19" s="52">
        <f t="shared" si="25"/>
        <v>7807416.8437499981</v>
      </c>
      <c r="AF19" s="52">
        <f t="shared" si="25"/>
        <v>7807416.8437499981</v>
      </c>
      <c r="AG19" s="52">
        <f t="shared" si="25"/>
        <v>7807416.8437499981</v>
      </c>
      <c r="AH19" s="52">
        <f t="shared" si="25"/>
        <v>7807416.8437499981</v>
      </c>
      <c r="AI19" s="52">
        <f t="shared" si="25"/>
        <v>0</v>
      </c>
      <c r="AJ19" s="52">
        <f t="shared" si="25"/>
        <v>0</v>
      </c>
      <c r="AK19" s="52">
        <f t="shared" si="25"/>
        <v>0</v>
      </c>
      <c r="AL19" s="52">
        <f t="shared" si="25"/>
        <v>0</v>
      </c>
      <c r="AM19" s="52">
        <f t="shared" si="25"/>
        <v>0</v>
      </c>
      <c r="AN19" s="52">
        <f t="shared" si="25"/>
        <v>0</v>
      </c>
      <c r="AO19" s="52">
        <f t="shared" si="25"/>
        <v>0</v>
      </c>
      <c r="AP19" s="52">
        <f t="shared" si="25"/>
        <v>0</v>
      </c>
      <c r="AQ19" s="52">
        <f t="shared" si="25"/>
        <v>0</v>
      </c>
      <c r="AR19" s="52">
        <f t="shared" ref="AR19:BC19" si="26">$D$23 *  AR147</f>
        <v>0</v>
      </c>
      <c r="AS19" s="52">
        <f t="shared" si="26"/>
        <v>0</v>
      </c>
      <c r="AT19" s="52">
        <f t="shared" si="26"/>
        <v>0</v>
      </c>
      <c r="AU19" s="52">
        <f t="shared" si="26"/>
        <v>0</v>
      </c>
      <c r="AV19" s="52">
        <f t="shared" si="26"/>
        <v>0</v>
      </c>
      <c r="AW19" s="52">
        <f t="shared" si="26"/>
        <v>0</v>
      </c>
      <c r="AX19" s="52">
        <f t="shared" si="26"/>
        <v>0</v>
      </c>
      <c r="AY19" s="52">
        <f t="shared" si="26"/>
        <v>0</v>
      </c>
      <c r="AZ19" s="52">
        <f t="shared" si="26"/>
        <v>0</v>
      </c>
      <c r="BA19" s="52">
        <f t="shared" si="26"/>
        <v>0</v>
      </c>
      <c r="BB19" s="52">
        <f t="shared" si="26"/>
        <v>0</v>
      </c>
      <c r="BC19" s="52">
        <f t="shared" si="26"/>
        <v>0</v>
      </c>
    </row>
    <row r="20" spans="1:55" ht="12.95" customHeight="1">
      <c r="A20" s="4"/>
      <c r="B20" s="25" t="s">
        <v>26</v>
      </c>
      <c r="C20" s="35" t="s">
        <v>65</v>
      </c>
      <c r="D20" s="160">
        <f>'Input Data'!F14*'Input Data'!F25</f>
        <v>560000</v>
      </c>
      <c r="E20" s="8"/>
      <c r="F20" s="4"/>
      <c r="G20" s="4"/>
      <c r="H20" s="4"/>
      <c r="I20" s="36" t="s">
        <v>27</v>
      </c>
      <c r="J20" s="35" t="s">
        <v>69</v>
      </c>
      <c r="K20" s="107"/>
      <c r="L20" s="96"/>
      <c r="M20" s="96"/>
      <c r="N20" s="97"/>
      <c r="O20" s="120">
        <f t="shared" ref="O20:AQ20" si="27">$D$25 * O147</f>
        <v>708472.86918843212</v>
      </c>
      <c r="P20" s="120">
        <f t="shared" si="27"/>
        <v>708472.86918843212</v>
      </c>
      <c r="Q20" s="120">
        <f t="shared" si="27"/>
        <v>708472.86918843212</v>
      </c>
      <c r="R20" s="120">
        <f t="shared" si="27"/>
        <v>708472.86918843212</v>
      </c>
      <c r="S20" s="120">
        <f t="shared" si="27"/>
        <v>708472.86918843212</v>
      </c>
      <c r="T20" s="120">
        <f t="shared" si="27"/>
        <v>708472.86918843212</v>
      </c>
      <c r="U20" s="120">
        <f t="shared" si="27"/>
        <v>708472.86918843212</v>
      </c>
      <c r="V20" s="120">
        <f t="shared" si="27"/>
        <v>708472.86918843212</v>
      </c>
      <c r="W20" s="120">
        <f t="shared" si="27"/>
        <v>708472.86918843212</v>
      </c>
      <c r="X20" s="120">
        <f t="shared" si="27"/>
        <v>708472.86918843212</v>
      </c>
      <c r="Y20" s="120">
        <f t="shared" si="27"/>
        <v>708472.86918843212</v>
      </c>
      <c r="Z20" s="120">
        <f t="shared" si="27"/>
        <v>708472.86918843212</v>
      </c>
      <c r="AA20" s="120">
        <f t="shared" si="27"/>
        <v>708472.86918843212</v>
      </c>
      <c r="AB20" s="120">
        <f t="shared" si="27"/>
        <v>708472.86918843212</v>
      </c>
      <c r="AC20" s="120">
        <f t="shared" si="27"/>
        <v>708472.86918843212</v>
      </c>
      <c r="AD20" s="120">
        <f t="shared" si="27"/>
        <v>708472.86918843212</v>
      </c>
      <c r="AE20" s="120">
        <f t="shared" si="27"/>
        <v>708472.86918843212</v>
      </c>
      <c r="AF20" s="120">
        <f t="shared" si="27"/>
        <v>708472.86918843212</v>
      </c>
      <c r="AG20" s="120">
        <f t="shared" si="27"/>
        <v>708472.86918843212</v>
      </c>
      <c r="AH20" s="120">
        <f t="shared" si="27"/>
        <v>708472.86918843212</v>
      </c>
      <c r="AI20" s="120">
        <f t="shared" si="27"/>
        <v>0</v>
      </c>
      <c r="AJ20" s="120">
        <f t="shared" si="27"/>
        <v>0</v>
      </c>
      <c r="AK20" s="120">
        <f t="shared" si="27"/>
        <v>0</v>
      </c>
      <c r="AL20" s="120">
        <f t="shared" si="27"/>
        <v>0</v>
      </c>
      <c r="AM20" s="120">
        <f t="shared" si="27"/>
        <v>0</v>
      </c>
      <c r="AN20" s="120">
        <f t="shared" si="27"/>
        <v>0</v>
      </c>
      <c r="AO20" s="120">
        <f t="shared" si="27"/>
        <v>0</v>
      </c>
      <c r="AP20" s="120">
        <f t="shared" si="27"/>
        <v>0</v>
      </c>
      <c r="AQ20" s="120">
        <f t="shared" si="27"/>
        <v>0</v>
      </c>
      <c r="AR20" s="120">
        <f t="shared" ref="AR20:BC20" si="28">$D$25 * AR147</f>
        <v>0</v>
      </c>
      <c r="AS20" s="120">
        <f t="shared" si="28"/>
        <v>0</v>
      </c>
      <c r="AT20" s="120">
        <f t="shared" si="28"/>
        <v>0</v>
      </c>
      <c r="AU20" s="120">
        <f t="shared" si="28"/>
        <v>0</v>
      </c>
      <c r="AV20" s="120">
        <f t="shared" si="28"/>
        <v>0</v>
      </c>
      <c r="AW20" s="120">
        <f t="shared" si="28"/>
        <v>0</v>
      </c>
      <c r="AX20" s="120">
        <f t="shared" si="28"/>
        <v>0</v>
      </c>
      <c r="AY20" s="120">
        <f t="shared" si="28"/>
        <v>0</v>
      </c>
      <c r="AZ20" s="120">
        <f t="shared" si="28"/>
        <v>0</v>
      </c>
      <c r="BA20" s="120">
        <f t="shared" si="28"/>
        <v>0</v>
      </c>
      <c r="BB20" s="120">
        <f t="shared" si="28"/>
        <v>0</v>
      </c>
      <c r="BC20" s="120">
        <f t="shared" si="28"/>
        <v>0</v>
      </c>
    </row>
    <row r="21" spans="1:55" ht="12.95" customHeight="1">
      <c r="A21" s="4"/>
      <c r="B21" s="25" t="s">
        <v>40</v>
      </c>
      <c r="C21" s="35" t="s">
        <v>66</v>
      </c>
      <c r="D21" s="104">
        <f>D20*D5</f>
        <v>56000000</v>
      </c>
      <c r="E21" s="8"/>
      <c r="F21" s="4"/>
      <c r="G21" s="4"/>
      <c r="H21" s="4"/>
      <c r="I21" s="36" t="s">
        <v>34</v>
      </c>
      <c r="J21" s="35" t="s">
        <v>69</v>
      </c>
      <c r="K21" s="107"/>
      <c r="L21" s="96"/>
      <c r="M21" s="96"/>
      <c r="N21" s="97"/>
      <c r="O21" s="120">
        <f t="shared" ref="O21:AQ21" si="29">$D$19 * O147</f>
        <v>28238835.929556888</v>
      </c>
      <c r="P21" s="120">
        <f t="shared" si="29"/>
        <v>28238835.929556888</v>
      </c>
      <c r="Q21" s="120">
        <f t="shared" si="29"/>
        <v>28238835.929556888</v>
      </c>
      <c r="R21" s="120">
        <f t="shared" si="29"/>
        <v>28238835.929556888</v>
      </c>
      <c r="S21" s="120">
        <f t="shared" si="29"/>
        <v>28238835.929556888</v>
      </c>
      <c r="T21" s="120">
        <f t="shared" si="29"/>
        <v>28238835.929556888</v>
      </c>
      <c r="U21" s="120">
        <f t="shared" si="29"/>
        <v>28238835.929556888</v>
      </c>
      <c r="V21" s="120">
        <f t="shared" si="29"/>
        <v>28238835.929556888</v>
      </c>
      <c r="W21" s="120">
        <f t="shared" si="29"/>
        <v>28238835.929556888</v>
      </c>
      <c r="X21" s="120">
        <f t="shared" si="29"/>
        <v>28238835.929556888</v>
      </c>
      <c r="Y21" s="120">
        <f t="shared" si="29"/>
        <v>28238835.929556888</v>
      </c>
      <c r="Z21" s="120">
        <f t="shared" si="29"/>
        <v>28238835.929556888</v>
      </c>
      <c r="AA21" s="120">
        <f t="shared" si="29"/>
        <v>28238835.929556888</v>
      </c>
      <c r="AB21" s="120">
        <f t="shared" si="29"/>
        <v>28238835.929556888</v>
      </c>
      <c r="AC21" s="120">
        <f t="shared" si="29"/>
        <v>28238835.929556888</v>
      </c>
      <c r="AD21" s="120">
        <f t="shared" si="29"/>
        <v>28238835.929556888</v>
      </c>
      <c r="AE21" s="120">
        <f t="shared" si="29"/>
        <v>28238835.929556888</v>
      </c>
      <c r="AF21" s="120">
        <f t="shared" si="29"/>
        <v>28238835.929556888</v>
      </c>
      <c r="AG21" s="120">
        <f t="shared" si="29"/>
        <v>28238835.929556888</v>
      </c>
      <c r="AH21" s="120">
        <f t="shared" si="29"/>
        <v>28238835.929556888</v>
      </c>
      <c r="AI21" s="120">
        <f t="shared" si="29"/>
        <v>0</v>
      </c>
      <c r="AJ21" s="120">
        <f t="shared" si="29"/>
        <v>0</v>
      </c>
      <c r="AK21" s="120">
        <f t="shared" si="29"/>
        <v>0</v>
      </c>
      <c r="AL21" s="120">
        <f t="shared" si="29"/>
        <v>0</v>
      </c>
      <c r="AM21" s="120">
        <f t="shared" si="29"/>
        <v>0</v>
      </c>
      <c r="AN21" s="120">
        <f t="shared" si="29"/>
        <v>0</v>
      </c>
      <c r="AO21" s="120">
        <f t="shared" si="29"/>
        <v>0</v>
      </c>
      <c r="AP21" s="120">
        <f t="shared" si="29"/>
        <v>0</v>
      </c>
      <c r="AQ21" s="120">
        <f t="shared" si="29"/>
        <v>0</v>
      </c>
      <c r="AR21" s="120">
        <f t="shared" ref="AR21:BC21" si="30">$D$19 * AR147</f>
        <v>0</v>
      </c>
      <c r="AS21" s="120">
        <f t="shared" si="30"/>
        <v>0</v>
      </c>
      <c r="AT21" s="120">
        <f t="shared" si="30"/>
        <v>0</v>
      </c>
      <c r="AU21" s="120">
        <f t="shared" si="30"/>
        <v>0</v>
      </c>
      <c r="AV21" s="120">
        <f t="shared" si="30"/>
        <v>0</v>
      </c>
      <c r="AW21" s="120">
        <f t="shared" si="30"/>
        <v>0</v>
      </c>
      <c r="AX21" s="120">
        <f t="shared" si="30"/>
        <v>0</v>
      </c>
      <c r="AY21" s="120">
        <f t="shared" si="30"/>
        <v>0</v>
      </c>
      <c r="AZ21" s="120">
        <f t="shared" si="30"/>
        <v>0</v>
      </c>
      <c r="BA21" s="120">
        <f t="shared" si="30"/>
        <v>0</v>
      </c>
      <c r="BB21" s="120">
        <f t="shared" si="30"/>
        <v>0</v>
      </c>
      <c r="BC21" s="120">
        <f t="shared" si="30"/>
        <v>0</v>
      </c>
    </row>
    <row r="22" spans="1:55" ht="12.95" customHeight="1">
      <c r="A22" s="4"/>
      <c r="B22" s="102" t="s">
        <v>9</v>
      </c>
      <c r="C22" s="103" t="s">
        <v>67</v>
      </c>
      <c r="D22" s="161">
        <f>'Input Data'!F18</f>
        <v>78074168.437499985</v>
      </c>
      <c r="E22" s="8"/>
      <c r="F22" s="4"/>
      <c r="G22" s="4"/>
      <c r="H22" s="4"/>
      <c r="I22" s="36" t="s">
        <v>35</v>
      </c>
      <c r="J22" s="35" t="s">
        <v>69</v>
      </c>
      <c r="K22" s="107"/>
      <c r="L22" s="96"/>
      <c r="M22" s="96"/>
      <c r="N22" s="97"/>
      <c r="O22" s="52">
        <f>O97</f>
        <v>4635276.3720900724</v>
      </c>
      <c r="P22" s="52">
        <f>P97</f>
        <v>4635276.3720900724</v>
      </c>
      <c r="Q22" s="52">
        <f>Q97</f>
        <v>4635276.3720900724</v>
      </c>
      <c r="R22" s="52">
        <f t="shared" ref="R22:AQ22" si="31">R97</f>
        <v>4635276.3720900724</v>
      </c>
      <c r="S22" s="52">
        <f t="shared" si="31"/>
        <v>4635276.3720900724</v>
      </c>
      <c r="T22" s="52">
        <f t="shared" si="31"/>
        <v>4635276.3720900724</v>
      </c>
      <c r="U22" s="52">
        <f t="shared" si="31"/>
        <v>4635276.3720900724</v>
      </c>
      <c r="V22" s="52">
        <f t="shared" si="31"/>
        <v>4635276.3720900724</v>
      </c>
      <c r="W22" s="52">
        <f t="shared" si="31"/>
        <v>4635276.3720900724</v>
      </c>
      <c r="X22" s="52">
        <f t="shared" si="31"/>
        <v>4635276.3720900724</v>
      </c>
      <c r="Y22" s="52">
        <f t="shared" si="31"/>
        <v>4635276.3720900724</v>
      </c>
      <c r="Z22" s="52">
        <f t="shared" si="31"/>
        <v>4635276.3720900724</v>
      </c>
      <c r="AA22" s="52">
        <f t="shared" si="31"/>
        <v>4635276.3720900724</v>
      </c>
      <c r="AB22" s="52">
        <f t="shared" si="31"/>
        <v>4635276.3720900724</v>
      </c>
      <c r="AC22" s="52">
        <f t="shared" si="31"/>
        <v>4635276.3720900724</v>
      </c>
      <c r="AD22" s="52">
        <f t="shared" si="31"/>
        <v>4635276.3720900724</v>
      </c>
      <c r="AE22" s="52">
        <f t="shared" si="31"/>
        <v>4635276.3720900724</v>
      </c>
      <c r="AF22" s="52">
        <f t="shared" si="31"/>
        <v>4635276.3720900724</v>
      </c>
      <c r="AG22" s="52">
        <f t="shared" si="31"/>
        <v>4635276.3720900724</v>
      </c>
      <c r="AH22" s="52">
        <f t="shared" si="31"/>
        <v>4635276.3720900724</v>
      </c>
      <c r="AI22" s="52">
        <f t="shared" si="31"/>
        <v>0</v>
      </c>
      <c r="AJ22" s="52">
        <f t="shared" si="31"/>
        <v>0</v>
      </c>
      <c r="AK22" s="52">
        <f t="shared" si="31"/>
        <v>0</v>
      </c>
      <c r="AL22" s="52">
        <f t="shared" si="31"/>
        <v>0</v>
      </c>
      <c r="AM22" s="52">
        <f t="shared" si="31"/>
        <v>0</v>
      </c>
      <c r="AN22" s="52">
        <f t="shared" si="31"/>
        <v>0</v>
      </c>
      <c r="AO22" s="52">
        <f t="shared" si="31"/>
        <v>0</v>
      </c>
      <c r="AP22" s="52">
        <f t="shared" si="31"/>
        <v>0</v>
      </c>
      <c r="AQ22" s="52">
        <f t="shared" si="31"/>
        <v>0</v>
      </c>
      <c r="AR22" s="52">
        <f t="shared" ref="AR22:BC22" si="32">AR97</f>
        <v>0</v>
      </c>
      <c r="AS22" s="52">
        <f t="shared" si="32"/>
        <v>0</v>
      </c>
      <c r="AT22" s="52">
        <f t="shared" si="32"/>
        <v>0</v>
      </c>
      <c r="AU22" s="52">
        <f t="shared" si="32"/>
        <v>0</v>
      </c>
      <c r="AV22" s="52">
        <f t="shared" si="32"/>
        <v>0</v>
      </c>
      <c r="AW22" s="52">
        <f t="shared" si="32"/>
        <v>0</v>
      </c>
      <c r="AX22" s="52">
        <f t="shared" si="32"/>
        <v>0</v>
      </c>
      <c r="AY22" s="52">
        <f t="shared" si="32"/>
        <v>0</v>
      </c>
      <c r="AZ22" s="52">
        <f t="shared" si="32"/>
        <v>0</v>
      </c>
      <c r="BA22" s="52">
        <f t="shared" si="32"/>
        <v>0</v>
      </c>
      <c r="BB22" s="52">
        <f t="shared" si="32"/>
        <v>0</v>
      </c>
      <c r="BC22" s="52">
        <f t="shared" si="32"/>
        <v>0</v>
      </c>
    </row>
    <row r="23" spans="1:55" ht="12.95" customHeight="1">
      <c r="A23" s="4"/>
      <c r="B23" s="100" t="s">
        <v>60</v>
      </c>
      <c r="C23" s="101" t="s">
        <v>68</v>
      </c>
      <c r="D23" s="162">
        <f>+D22*D5/1000</f>
        <v>7807416.8437499981</v>
      </c>
      <c r="E23" s="8"/>
      <c r="F23" s="4"/>
      <c r="G23" s="4"/>
      <c r="H23" s="4"/>
      <c r="I23" s="36" t="s">
        <v>29</v>
      </c>
      <c r="J23" s="35" t="s">
        <v>69</v>
      </c>
      <c r="K23" s="107"/>
      <c r="L23" s="96"/>
      <c r="M23" s="96"/>
      <c r="N23" s="97"/>
      <c r="O23" s="120">
        <f t="shared" ref="O23:AQ23" si="33">$D$26 *O147</f>
        <v>0</v>
      </c>
      <c r="P23" s="120">
        <f t="shared" si="33"/>
        <v>0</v>
      </c>
      <c r="Q23" s="120">
        <f t="shared" si="33"/>
        <v>0</v>
      </c>
      <c r="R23" s="120">
        <f t="shared" si="33"/>
        <v>0</v>
      </c>
      <c r="S23" s="120">
        <f t="shared" si="33"/>
        <v>0</v>
      </c>
      <c r="T23" s="120">
        <f t="shared" si="33"/>
        <v>0</v>
      </c>
      <c r="U23" s="120">
        <f t="shared" si="33"/>
        <v>0</v>
      </c>
      <c r="V23" s="120">
        <f t="shared" si="33"/>
        <v>0</v>
      </c>
      <c r="W23" s="120">
        <f t="shared" si="33"/>
        <v>0</v>
      </c>
      <c r="X23" s="120">
        <f t="shared" si="33"/>
        <v>0</v>
      </c>
      <c r="Y23" s="120">
        <f t="shared" si="33"/>
        <v>0</v>
      </c>
      <c r="Z23" s="120">
        <f t="shared" si="33"/>
        <v>0</v>
      </c>
      <c r="AA23" s="120">
        <f t="shared" si="33"/>
        <v>0</v>
      </c>
      <c r="AB23" s="120">
        <f t="shared" si="33"/>
        <v>0</v>
      </c>
      <c r="AC23" s="120">
        <f t="shared" si="33"/>
        <v>0</v>
      </c>
      <c r="AD23" s="120">
        <f t="shared" si="33"/>
        <v>0</v>
      </c>
      <c r="AE23" s="120">
        <f t="shared" si="33"/>
        <v>0</v>
      </c>
      <c r="AF23" s="120">
        <f t="shared" si="33"/>
        <v>0</v>
      </c>
      <c r="AG23" s="120">
        <f t="shared" si="33"/>
        <v>0</v>
      </c>
      <c r="AH23" s="120">
        <f t="shared" si="33"/>
        <v>0</v>
      </c>
      <c r="AI23" s="120">
        <f t="shared" si="33"/>
        <v>0</v>
      </c>
      <c r="AJ23" s="120">
        <f t="shared" si="33"/>
        <v>0</v>
      </c>
      <c r="AK23" s="120">
        <f t="shared" si="33"/>
        <v>0</v>
      </c>
      <c r="AL23" s="120">
        <f t="shared" si="33"/>
        <v>0</v>
      </c>
      <c r="AM23" s="120">
        <f t="shared" si="33"/>
        <v>0</v>
      </c>
      <c r="AN23" s="120">
        <f t="shared" si="33"/>
        <v>0</v>
      </c>
      <c r="AO23" s="120">
        <f t="shared" si="33"/>
        <v>0</v>
      </c>
      <c r="AP23" s="120">
        <f t="shared" si="33"/>
        <v>0</v>
      </c>
      <c r="AQ23" s="120">
        <f t="shared" si="33"/>
        <v>0</v>
      </c>
      <c r="AR23" s="120">
        <f t="shared" ref="AR23:BC23" si="34">$D$26 *AR147</f>
        <v>0</v>
      </c>
      <c r="AS23" s="120">
        <f t="shared" si="34"/>
        <v>0</v>
      </c>
      <c r="AT23" s="120">
        <f t="shared" si="34"/>
        <v>0</v>
      </c>
      <c r="AU23" s="120">
        <f t="shared" si="34"/>
        <v>0</v>
      </c>
      <c r="AV23" s="120">
        <f t="shared" si="34"/>
        <v>0</v>
      </c>
      <c r="AW23" s="120">
        <f t="shared" si="34"/>
        <v>0</v>
      </c>
      <c r="AX23" s="120">
        <f t="shared" si="34"/>
        <v>0</v>
      </c>
      <c r="AY23" s="120">
        <f t="shared" si="34"/>
        <v>0</v>
      </c>
      <c r="AZ23" s="120">
        <f t="shared" si="34"/>
        <v>0</v>
      </c>
      <c r="BA23" s="120">
        <f t="shared" si="34"/>
        <v>0</v>
      </c>
      <c r="BB23" s="120">
        <f t="shared" si="34"/>
        <v>0</v>
      </c>
      <c r="BC23" s="120">
        <f t="shared" si="34"/>
        <v>0</v>
      </c>
    </row>
    <row r="24" spans="1:55" ht="12.95" customHeight="1">
      <c r="A24" s="4"/>
      <c r="B24" s="25" t="s">
        <v>27</v>
      </c>
      <c r="C24" s="35" t="s">
        <v>8</v>
      </c>
      <c r="D24" s="160">
        <f>'Input Data'!F19</f>
        <v>1030.8742573178608</v>
      </c>
      <c r="E24" s="8"/>
      <c r="F24" s="4"/>
      <c r="G24" s="4"/>
      <c r="H24" s="4"/>
      <c r="I24" s="36" t="s">
        <v>36</v>
      </c>
      <c r="J24" s="35" t="s">
        <v>69</v>
      </c>
      <c r="K24" s="107"/>
      <c r="L24" s="96"/>
      <c r="M24" s="96"/>
      <c r="N24" s="97"/>
      <c r="O24" s="163">
        <f t="shared" ref="O24:AQ24" si="35">$D$27 * O147</f>
        <v>0</v>
      </c>
      <c r="P24" s="163">
        <f t="shared" si="35"/>
        <v>0</v>
      </c>
      <c r="Q24" s="163">
        <f t="shared" si="35"/>
        <v>0</v>
      </c>
      <c r="R24" s="163">
        <f t="shared" si="35"/>
        <v>0</v>
      </c>
      <c r="S24" s="163">
        <f t="shared" si="35"/>
        <v>0</v>
      </c>
      <c r="T24" s="163">
        <f t="shared" si="35"/>
        <v>0</v>
      </c>
      <c r="U24" s="163">
        <f t="shared" si="35"/>
        <v>0</v>
      </c>
      <c r="V24" s="163">
        <f t="shared" si="35"/>
        <v>0</v>
      </c>
      <c r="W24" s="163">
        <f t="shared" si="35"/>
        <v>0</v>
      </c>
      <c r="X24" s="163">
        <f t="shared" si="35"/>
        <v>0</v>
      </c>
      <c r="Y24" s="163">
        <f t="shared" si="35"/>
        <v>0</v>
      </c>
      <c r="Z24" s="163">
        <f t="shared" si="35"/>
        <v>0</v>
      </c>
      <c r="AA24" s="163">
        <f t="shared" si="35"/>
        <v>0</v>
      </c>
      <c r="AB24" s="163">
        <f t="shared" si="35"/>
        <v>0</v>
      </c>
      <c r="AC24" s="163">
        <f t="shared" si="35"/>
        <v>0</v>
      </c>
      <c r="AD24" s="163">
        <f t="shared" si="35"/>
        <v>0</v>
      </c>
      <c r="AE24" s="163">
        <f t="shared" si="35"/>
        <v>0</v>
      </c>
      <c r="AF24" s="163">
        <f t="shared" si="35"/>
        <v>0</v>
      </c>
      <c r="AG24" s="163">
        <f t="shared" si="35"/>
        <v>0</v>
      </c>
      <c r="AH24" s="163">
        <f t="shared" si="35"/>
        <v>0</v>
      </c>
      <c r="AI24" s="163">
        <f t="shared" si="35"/>
        <v>0</v>
      </c>
      <c r="AJ24" s="163">
        <f t="shared" si="35"/>
        <v>0</v>
      </c>
      <c r="AK24" s="163">
        <f t="shared" si="35"/>
        <v>0</v>
      </c>
      <c r="AL24" s="163">
        <f t="shared" si="35"/>
        <v>0</v>
      </c>
      <c r="AM24" s="163">
        <f t="shared" si="35"/>
        <v>0</v>
      </c>
      <c r="AN24" s="163">
        <f t="shared" si="35"/>
        <v>0</v>
      </c>
      <c r="AO24" s="163">
        <f t="shared" si="35"/>
        <v>0</v>
      </c>
      <c r="AP24" s="163">
        <f t="shared" si="35"/>
        <v>0</v>
      </c>
      <c r="AQ24" s="163">
        <f t="shared" si="35"/>
        <v>0</v>
      </c>
      <c r="AR24" s="163">
        <f t="shared" ref="AR24:BC24" si="36">$D$27 * AR147</f>
        <v>0</v>
      </c>
      <c r="AS24" s="163">
        <f t="shared" si="36"/>
        <v>0</v>
      </c>
      <c r="AT24" s="163">
        <f t="shared" si="36"/>
        <v>0</v>
      </c>
      <c r="AU24" s="163">
        <f t="shared" si="36"/>
        <v>0</v>
      </c>
      <c r="AV24" s="163">
        <f t="shared" si="36"/>
        <v>0</v>
      </c>
      <c r="AW24" s="163">
        <f t="shared" si="36"/>
        <v>0</v>
      </c>
      <c r="AX24" s="163">
        <f t="shared" si="36"/>
        <v>0</v>
      </c>
      <c r="AY24" s="163">
        <f t="shared" si="36"/>
        <v>0</v>
      </c>
      <c r="AZ24" s="163">
        <f t="shared" si="36"/>
        <v>0</v>
      </c>
      <c r="BA24" s="163">
        <f t="shared" si="36"/>
        <v>0</v>
      </c>
      <c r="BB24" s="163">
        <f t="shared" si="36"/>
        <v>0</v>
      </c>
      <c r="BC24" s="163">
        <f t="shared" si="36"/>
        <v>0</v>
      </c>
    </row>
    <row r="25" spans="1:55" ht="12.95" customHeight="1">
      <c r="A25" s="52"/>
      <c r="B25" s="25" t="s">
        <v>59</v>
      </c>
      <c r="C25" s="35" t="s">
        <v>68</v>
      </c>
      <c r="D25" s="53">
        <f>D24*D11</f>
        <v>708472.86918843212</v>
      </c>
      <c r="E25" s="8"/>
      <c r="F25" s="4"/>
      <c r="G25" s="4"/>
      <c r="H25" s="4"/>
      <c r="I25" s="82" t="s">
        <v>31</v>
      </c>
      <c r="J25" s="35" t="s">
        <v>69</v>
      </c>
      <c r="K25" s="109">
        <f t="shared" ref="K25:U25" si="37">SUM(K18:K24)</f>
        <v>0</v>
      </c>
      <c r="L25" s="110">
        <f t="shared" si="37"/>
        <v>0</v>
      </c>
      <c r="M25" s="110">
        <f t="shared" si="37"/>
        <v>28000000</v>
      </c>
      <c r="N25" s="111">
        <f t="shared" si="37"/>
        <v>28000000</v>
      </c>
      <c r="O25" s="83">
        <f t="shared" si="37"/>
        <v>41390002.014585391</v>
      </c>
      <c r="P25" s="83">
        <f t="shared" si="37"/>
        <v>41390002.014585391</v>
      </c>
      <c r="Q25" s="83">
        <f t="shared" si="37"/>
        <v>41390002.014585391</v>
      </c>
      <c r="R25" s="83">
        <f t="shared" si="37"/>
        <v>41390002.014585391</v>
      </c>
      <c r="S25" s="83">
        <f t="shared" si="37"/>
        <v>41390002.014585391</v>
      </c>
      <c r="T25" s="83">
        <f t="shared" si="37"/>
        <v>41390002.014585391</v>
      </c>
      <c r="U25" s="83">
        <f t="shared" si="37"/>
        <v>41390002.014585391</v>
      </c>
      <c r="V25" s="83">
        <f t="shared" ref="V25:AQ25" si="38">SUM(V18:V24)</f>
        <v>41390002.014585391</v>
      </c>
      <c r="W25" s="83">
        <f t="shared" si="38"/>
        <v>41390002.014585391</v>
      </c>
      <c r="X25" s="83">
        <f t="shared" si="38"/>
        <v>41390002.014585391</v>
      </c>
      <c r="Y25" s="83">
        <f t="shared" si="38"/>
        <v>41390002.014585391</v>
      </c>
      <c r="Z25" s="83">
        <f t="shared" si="38"/>
        <v>41390002.014585391</v>
      </c>
      <c r="AA25" s="83">
        <f t="shared" si="38"/>
        <v>41390002.014585391</v>
      </c>
      <c r="AB25" s="83">
        <f t="shared" si="38"/>
        <v>41390002.014585391</v>
      </c>
      <c r="AC25" s="83">
        <f t="shared" si="38"/>
        <v>41390002.014585391</v>
      </c>
      <c r="AD25" s="83">
        <f t="shared" si="38"/>
        <v>41390002.014585391</v>
      </c>
      <c r="AE25" s="83">
        <f t="shared" si="38"/>
        <v>41390002.014585391</v>
      </c>
      <c r="AF25" s="83">
        <f t="shared" si="38"/>
        <v>41390002.014585391</v>
      </c>
      <c r="AG25" s="83">
        <f t="shared" si="38"/>
        <v>41390002.014585391</v>
      </c>
      <c r="AH25" s="83">
        <f t="shared" si="38"/>
        <v>41390002.014585391</v>
      </c>
      <c r="AI25" s="83">
        <f t="shared" si="38"/>
        <v>0</v>
      </c>
      <c r="AJ25" s="83">
        <f t="shared" si="38"/>
        <v>0</v>
      </c>
      <c r="AK25" s="83">
        <f t="shared" si="38"/>
        <v>0</v>
      </c>
      <c r="AL25" s="83">
        <f t="shared" si="38"/>
        <v>0</v>
      </c>
      <c r="AM25" s="83">
        <f t="shared" si="38"/>
        <v>0</v>
      </c>
      <c r="AN25" s="83">
        <f t="shared" si="38"/>
        <v>0</v>
      </c>
      <c r="AO25" s="83">
        <f t="shared" si="38"/>
        <v>0</v>
      </c>
      <c r="AP25" s="83">
        <f t="shared" si="38"/>
        <v>0</v>
      </c>
      <c r="AQ25" s="83">
        <f t="shared" si="38"/>
        <v>0</v>
      </c>
      <c r="AR25" s="83">
        <f t="shared" ref="AR25:BC25" si="39">SUM(AR18:AR24)</f>
        <v>0</v>
      </c>
      <c r="AS25" s="83">
        <f t="shared" si="39"/>
        <v>0</v>
      </c>
      <c r="AT25" s="83">
        <f t="shared" si="39"/>
        <v>0</v>
      </c>
      <c r="AU25" s="83">
        <f t="shared" si="39"/>
        <v>0</v>
      </c>
      <c r="AV25" s="83">
        <f t="shared" si="39"/>
        <v>0</v>
      </c>
      <c r="AW25" s="83">
        <f t="shared" si="39"/>
        <v>0</v>
      </c>
      <c r="AX25" s="83">
        <f t="shared" si="39"/>
        <v>0</v>
      </c>
      <c r="AY25" s="83">
        <f t="shared" si="39"/>
        <v>0</v>
      </c>
      <c r="AZ25" s="83">
        <f t="shared" si="39"/>
        <v>0</v>
      </c>
      <c r="BA25" s="83">
        <f t="shared" si="39"/>
        <v>0</v>
      </c>
      <c r="BB25" s="83">
        <f t="shared" si="39"/>
        <v>0</v>
      </c>
      <c r="BC25" s="83">
        <f t="shared" si="39"/>
        <v>0</v>
      </c>
    </row>
    <row r="26" spans="1:55" ht="12.95" customHeight="1">
      <c r="A26" s="4"/>
      <c r="B26" s="102" t="s">
        <v>88</v>
      </c>
      <c r="C26" s="103" t="s">
        <v>69</v>
      </c>
      <c r="D26" s="164"/>
      <c r="E26" s="4"/>
      <c r="F26" s="4"/>
      <c r="G26" s="4"/>
      <c r="H26" s="4"/>
      <c r="I26" s="25"/>
      <c r="J26" s="35"/>
      <c r="K26" s="107"/>
      <c r="L26" s="96"/>
      <c r="M26" s="96"/>
      <c r="N26" s="9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</row>
    <row r="27" spans="1:55" ht="12.95" customHeight="1">
      <c r="A27" s="4"/>
      <c r="B27" s="100" t="s">
        <v>118</v>
      </c>
      <c r="C27" s="101" t="s">
        <v>69</v>
      </c>
      <c r="D27" s="165"/>
      <c r="E27" s="4"/>
      <c r="F27" s="4"/>
      <c r="G27" s="166"/>
      <c r="H27" s="4"/>
      <c r="I27" s="82" t="s">
        <v>37</v>
      </c>
      <c r="J27" s="167" t="s">
        <v>69</v>
      </c>
      <c r="K27" s="109">
        <f t="shared" ref="K27:U27" si="40">K15-K25</f>
        <v>0</v>
      </c>
      <c r="L27" s="110">
        <f t="shared" si="40"/>
        <v>0</v>
      </c>
      <c r="M27" s="110">
        <f t="shared" si="40"/>
        <v>-28000000</v>
      </c>
      <c r="N27" s="111">
        <f t="shared" si="40"/>
        <v>-28000000</v>
      </c>
      <c r="O27" s="83">
        <f t="shared" si="40"/>
        <v>12649962.290691406</v>
      </c>
      <c r="P27" s="83">
        <f t="shared" si="40"/>
        <v>12649962.290691406</v>
      </c>
      <c r="Q27" s="83">
        <f t="shared" si="40"/>
        <v>12649962.290691406</v>
      </c>
      <c r="R27" s="83">
        <f t="shared" si="40"/>
        <v>12649962.290691406</v>
      </c>
      <c r="S27" s="83">
        <f t="shared" si="40"/>
        <v>12649962.290691406</v>
      </c>
      <c r="T27" s="83">
        <f t="shared" si="40"/>
        <v>12649962.290691406</v>
      </c>
      <c r="U27" s="83">
        <f t="shared" si="40"/>
        <v>12649962.290691406</v>
      </c>
      <c r="V27" s="83">
        <f t="shared" ref="V27:AQ27" si="41">V15-V25</f>
        <v>12649962.290691406</v>
      </c>
      <c r="W27" s="83">
        <f t="shared" si="41"/>
        <v>12649962.290691406</v>
      </c>
      <c r="X27" s="83">
        <f t="shared" si="41"/>
        <v>12649962.290691406</v>
      </c>
      <c r="Y27" s="83">
        <f t="shared" si="41"/>
        <v>12649962.290691406</v>
      </c>
      <c r="Z27" s="83">
        <f t="shared" si="41"/>
        <v>12649962.290691406</v>
      </c>
      <c r="AA27" s="83">
        <f t="shared" si="41"/>
        <v>12649962.290691406</v>
      </c>
      <c r="AB27" s="83">
        <f t="shared" si="41"/>
        <v>12649962.290691406</v>
      </c>
      <c r="AC27" s="83">
        <f t="shared" si="41"/>
        <v>12649962.290691406</v>
      </c>
      <c r="AD27" s="83">
        <f t="shared" si="41"/>
        <v>12649962.290691406</v>
      </c>
      <c r="AE27" s="83">
        <f t="shared" si="41"/>
        <v>12649962.290691406</v>
      </c>
      <c r="AF27" s="83">
        <f t="shared" si="41"/>
        <v>12649962.290691406</v>
      </c>
      <c r="AG27" s="83">
        <f t="shared" si="41"/>
        <v>12649962.290691406</v>
      </c>
      <c r="AH27" s="83">
        <f t="shared" si="41"/>
        <v>12649962.290691406</v>
      </c>
      <c r="AI27" s="83">
        <f t="shared" si="41"/>
        <v>0</v>
      </c>
      <c r="AJ27" s="83">
        <f t="shared" si="41"/>
        <v>0</v>
      </c>
      <c r="AK27" s="83">
        <f t="shared" si="41"/>
        <v>0</v>
      </c>
      <c r="AL27" s="83">
        <f t="shared" si="41"/>
        <v>0</v>
      </c>
      <c r="AM27" s="83">
        <f t="shared" si="41"/>
        <v>0</v>
      </c>
      <c r="AN27" s="83">
        <f t="shared" si="41"/>
        <v>0</v>
      </c>
      <c r="AO27" s="83">
        <f t="shared" si="41"/>
        <v>0</v>
      </c>
      <c r="AP27" s="83">
        <f t="shared" si="41"/>
        <v>0</v>
      </c>
      <c r="AQ27" s="83">
        <f t="shared" si="41"/>
        <v>0</v>
      </c>
      <c r="AR27" s="83">
        <f t="shared" ref="AR27:BC27" si="42">AR15-AR25</f>
        <v>0</v>
      </c>
      <c r="AS27" s="83">
        <f t="shared" si="42"/>
        <v>0</v>
      </c>
      <c r="AT27" s="83">
        <f t="shared" si="42"/>
        <v>0</v>
      </c>
      <c r="AU27" s="83">
        <f t="shared" si="42"/>
        <v>0</v>
      </c>
      <c r="AV27" s="83">
        <f t="shared" si="42"/>
        <v>0</v>
      </c>
      <c r="AW27" s="83">
        <f t="shared" si="42"/>
        <v>0</v>
      </c>
      <c r="AX27" s="83">
        <f t="shared" si="42"/>
        <v>0</v>
      </c>
      <c r="AY27" s="83">
        <f t="shared" si="42"/>
        <v>0</v>
      </c>
      <c r="AZ27" s="83">
        <f t="shared" si="42"/>
        <v>0</v>
      </c>
      <c r="BA27" s="83">
        <f t="shared" si="42"/>
        <v>0</v>
      </c>
      <c r="BB27" s="83">
        <f t="shared" si="42"/>
        <v>0</v>
      </c>
      <c r="BC27" s="83">
        <f t="shared" si="42"/>
        <v>0</v>
      </c>
    </row>
    <row r="28" spans="1:55" ht="12.95" customHeight="1">
      <c r="A28" s="52"/>
      <c r="B28" s="25" t="s">
        <v>80</v>
      </c>
      <c r="C28" s="35" t="s">
        <v>7</v>
      </c>
      <c r="D28" s="229">
        <f>1/'Input Data'!F6</f>
        <v>0.05</v>
      </c>
      <c r="E28" s="4"/>
      <c r="F28" s="4"/>
      <c r="G28" s="166"/>
      <c r="H28" s="4"/>
      <c r="I28" s="25"/>
      <c r="J28" s="35"/>
      <c r="K28" s="107"/>
      <c r="L28" s="96"/>
      <c r="M28" s="96"/>
      <c r="N28" s="9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</row>
    <row r="29" spans="1:55" ht="12.95" customHeight="1">
      <c r="A29" s="4"/>
      <c r="B29" s="25" t="s">
        <v>84</v>
      </c>
      <c r="C29" s="35" t="s">
        <v>107</v>
      </c>
      <c r="D29" s="168">
        <f>'Input Data'!F6</f>
        <v>20</v>
      </c>
      <c r="E29" s="4"/>
      <c r="F29" s="4"/>
      <c r="G29" s="166"/>
      <c r="H29" s="4"/>
      <c r="I29" s="55" t="s">
        <v>38</v>
      </c>
      <c r="J29" s="169">
        <f>NPV(WACC,L27:BB27) + K27 + (G9*0)</f>
        <v>-7.0164484592775508E-8</v>
      </c>
      <c r="K29" s="115"/>
      <c r="L29" s="116"/>
      <c r="M29" s="116"/>
      <c r="N29" s="117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</row>
    <row r="30" spans="1:55" ht="12.95" customHeight="1">
      <c r="A30" s="4"/>
      <c r="B30" s="102" t="s">
        <v>136</v>
      </c>
      <c r="C30" s="103" t="s">
        <v>7</v>
      </c>
      <c r="D30" s="218">
        <f>'Input Data'!F27</f>
        <v>0.2</v>
      </c>
      <c r="E30" s="4"/>
      <c r="F30" s="4"/>
      <c r="G30" s="4"/>
      <c r="H30" s="4"/>
      <c r="I30" s="4"/>
      <c r="J30" s="170"/>
      <c r="K30" s="4"/>
      <c r="L30" s="4"/>
      <c r="M30" s="4"/>
      <c r="N30" s="4"/>
      <c r="O30" s="4"/>
      <c r="P30" s="4"/>
      <c r="Q30" s="4"/>
      <c r="R30" s="11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 spans="1:55" ht="12.95" customHeight="1">
      <c r="A31" s="4"/>
      <c r="B31" s="27" t="s">
        <v>19</v>
      </c>
      <c r="C31" s="40" t="s">
        <v>7</v>
      </c>
      <c r="D31" s="80">
        <f>'Input Data'!F28</f>
        <v>0.32</v>
      </c>
      <c r="E31" s="4"/>
      <c r="F31" s="4"/>
      <c r="G31" s="171"/>
      <c r="H31" s="4"/>
      <c r="I31" s="4"/>
      <c r="J31" s="35"/>
      <c r="K31" s="4"/>
      <c r="L31" s="4"/>
      <c r="M31" s="4"/>
      <c r="N31" s="4"/>
      <c r="O31" s="4"/>
      <c r="P31" s="4"/>
      <c r="Q31" s="4"/>
      <c r="R31" s="11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 spans="1:55" ht="12.95" customHeight="1">
      <c r="A32" s="52"/>
      <c r="B32" s="4"/>
      <c r="C32" s="35"/>
      <c r="D32" s="4"/>
      <c r="E32" s="4"/>
      <c r="F32" s="4"/>
      <c r="G32" s="4"/>
      <c r="H32" s="4"/>
      <c r="I32" s="4"/>
      <c r="J32" s="35"/>
      <c r="K32" s="4"/>
      <c r="L32" s="4"/>
      <c r="M32" s="4"/>
      <c r="N32" s="4"/>
      <c r="O32" s="4"/>
      <c r="P32" s="4"/>
      <c r="Q32" s="4"/>
      <c r="R32" s="11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 spans="1:55" ht="12.95" customHeight="1">
      <c r="A33" s="4"/>
      <c r="B33" s="39" t="s">
        <v>140</v>
      </c>
      <c r="C33" s="42"/>
      <c r="D33" s="43"/>
      <c r="E33" s="4"/>
      <c r="F33" s="4"/>
      <c r="G33" s="4"/>
      <c r="H33" s="4"/>
      <c r="I33" s="58" t="s">
        <v>10</v>
      </c>
      <c r="J33" s="35"/>
      <c r="K33" s="4"/>
      <c r="L33" s="4"/>
      <c r="M33" s="4"/>
      <c r="N33" s="4"/>
      <c r="O33" s="4"/>
      <c r="P33" s="4"/>
      <c r="Q33" s="4"/>
      <c r="R33" s="11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 spans="1:55" ht="12.95" customHeight="1">
      <c r="A34" s="4"/>
      <c r="B34" s="36" t="s">
        <v>138</v>
      </c>
      <c r="C34" s="35" t="s">
        <v>139</v>
      </c>
      <c r="D34" s="216">
        <f>O8 * 0.001</f>
        <v>25.151150233132711</v>
      </c>
      <c r="E34" s="4"/>
      <c r="F34" s="4"/>
      <c r="G34" s="4"/>
      <c r="H34" s="4"/>
      <c r="I34" s="122"/>
      <c r="J34" s="123"/>
      <c r="K34" s="87">
        <v>-4</v>
      </c>
      <c r="L34" s="87">
        <v>-3</v>
      </c>
      <c r="M34" s="87">
        <v>-2</v>
      </c>
      <c r="N34" s="87">
        <v>-1</v>
      </c>
      <c r="O34" s="87">
        <v>1</v>
      </c>
      <c r="P34" s="87">
        <v>2</v>
      </c>
      <c r="Q34" s="87">
        <v>3</v>
      </c>
      <c r="R34" s="87">
        <v>4</v>
      </c>
      <c r="S34" s="87">
        <v>5</v>
      </c>
      <c r="T34" s="87">
        <v>6</v>
      </c>
      <c r="U34" s="87">
        <v>7</v>
      </c>
      <c r="V34" s="87">
        <v>8</v>
      </c>
      <c r="W34" s="87">
        <v>9</v>
      </c>
      <c r="X34" s="87">
        <v>10</v>
      </c>
      <c r="Y34" s="87">
        <v>11</v>
      </c>
      <c r="Z34" s="87">
        <v>12</v>
      </c>
      <c r="AA34" s="87">
        <v>13</v>
      </c>
      <c r="AB34" s="87">
        <v>14</v>
      </c>
      <c r="AC34" s="87">
        <v>15</v>
      </c>
      <c r="AD34" s="87">
        <v>16</v>
      </c>
      <c r="AE34" s="87">
        <v>17</v>
      </c>
      <c r="AF34" s="87">
        <v>18</v>
      </c>
      <c r="AG34" s="87">
        <v>19</v>
      </c>
      <c r="AH34" s="87">
        <v>20</v>
      </c>
      <c r="AI34" s="87">
        <v>21</v>
      </c>
      <c r="AJ34" s="87">
        <v>22</v>
      </c>
      <c r="AK34" s="87">
        <v>23</v>
      </c>
      <c r="AL34" s="87">
        <v>24</v>
      </c>
      <c r="AM34" s="87">
        <v>25</v>
      </c>
      <c r="AN34" s="87">
        <v>26</v>
      </c>
      <c r="AO34" s="87">
        <v>27</v>
      </c>
      <c r="AP34" s="87">
        <v>28</v>
      </c>
      <c r="AQ34" s="87">
        <v>29</v>
      </c>
      <c r="AR34" s="87">
        <v>30</v>
      </c>
      <c r="AS34" s="87">
        <v>31</v>
      </c>
      <c r="AT34" s="87">
        <v>32</v>
      </c>
      <c r="AU34" s="87">
        <v>33</v>
      </c>
      <c r="AV34" s="87">
        <v>34</v>
      </c>
      <c r="AW34" s="87">
        <v>35</v>
      </c>
      <c r="AX34" s="87">
        <v>36</v>
      </c>
      <c r="AY34" s="87">
        <v>37</v>
      </c>
      <c r="AZ34" s="87">
        <v>38</v>
      </c>
      <c r="BA34" s="87">
        <v>39</v>
      </c>
      <c r="BB34" s="87">
        <v>40</v>
      </c>
      <c r="BC34" s="87">
        <v>41</v>
      </c>
    </row>
    <row r="35" spans="1:55" ht="12.95" customHeight="1">
      <c r="A35" s="4"/>
      <c r="B35" s="36" t="s">
        <v>9</v>
      </c>
      <c r="C35" s="35" t="s">
        <v>139</v>
      </c>
      <c r="D35" s="216">
        <f>O9 * 0.001</f>
        <v>11.360300994435246</v>
      </c>
      <c r="E35" s="4"/>
      <c r="F35" s="4"/>
      <c r="G35" s="4"/>
      <c r="H35" s="4"/>
      <c r="I35" s="25" t="s">
        <v>105</v>
      </c>
      <c r="J35" s="35">
        <f>1/D28</f>
        <v>20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 spans="1:55" ht="12.95" customHeight="1">
      <c r="A36" s="4"/>
      <c r="B36" s="36" t="s">
        <v>27</v>
      </c>
      <c r="C36" s="35" t="s">
        <v>139</v>
      </c>
      <c r="D36" s="216">
        <f>O10 * 0.001</f>
        <v>1.0308742573178609</v>
      </c>
      <c r="E36" s="4"/>
      <c r="F36" s="4"/>
      <c r="G36" s="4"/>
      <c r="H36" s="4"/>
      <c r="I36" s="25" t="s">
        <v>42</v>
      </c>
      <c r="J36" s="35" t="s">
        <v>69</v>
      </c>
      <c r="K36" s="52"/>
      <c r="L36" s="52"/>
      <c r="M36" s="52"/>
      <c r="N36" s="52"/>
      <c r="O36" s="52">
        <f>SUM(K18:N18)</f>
        <v>56000000</v>
      </c>
      <c r="P36" s="52">
        <f t="shared" ref="P36:AQ36" si="43">O38</f>
        <v>53200000</v>
      </c>
      <c r="Q36" s="52">
        <f t="shared" si="43"/>
        <v>50400000</v>
      </c>
      <c r="R36" s="52">
        <f t="shared" si="43"/>
        <v>47600000</v>
      </c>
      <c r="S36" s="52">
        <f t="shared" si="43"/>
        <v>44800000</v>
      </c>
      <c r="T36" s="52">
        <f t="shared" si="43"/>
        <v>42000000</v>
      </c>
      <c r="U36" s="52">
        <f t="shared" si="43"/>
        <v>39200000</v>
      </c>
      <c r="V36" s="52">
        <f t="shared" si="43"/>
        <v>36400000</v>
      </c>
      <c r="W36" s="52">
        <f t="shared" si="43"/>
        <v>33600000</v>
      </c>
      <c r="X36" s="52">
        <f t="shared" si="43"/>
        <v>30800000</v>
      </c>
      <c r="Y36" s="52">
        <f t="shared" si="43"/>
        <v>28000000</v>
      </c>
      <c r="Z36" s="52">
        <f t="shared" si="43"/>
        <v>25200000</v>
      </c>
      <c r="AA36" s="52">
        <f t="shared" si="43"/>
        <v>22400000</v>
      </c>
      <c r="AB36" s="52">
        <f t="shared" si="43"/>
        <v>19600000</v>
      </c>
      <c r="AC36" s="52">
        <f t="shared" si="43"/>
        <v>16800000</v>
      </c>
      <c r="AD36" s="52">
        <f t="shared" si="43"/>
        <v>14000000</v>
      </c>
      <c r="AE36" s="52">
        <f t="shared" si="43"/>
        <v>11200000</v>
      </c>
      <c r="AF36" s="52">
        <f t="shared" si="43"/>
        <v>8400000</v>
      </c>
      <c r="AG36" s="52">
        <f t="shared" si="43"/>
        <v>5600000</v>
      </c>
      <c r="AH36" s="52">
        <f t="shared" si="43"/>
        <v>2800000</v>
      </c>
      <c r="AI36" s="52">
        <f t="shared" si="43"/>
        <v>0</v>
      </c>
      <c r="AJ36" s="52">
        <f t="shared" si="43"/>
        <v>0</v>
      </c>
      <c r="AK36" s="52">
        <f t="shared" si="43"/>
        <v>0</v>
      </c>
      <c r="AL36" s="52">
        <f t="shared" si="43"/>
        <v>0</v>
      </c>
      <c r="AM36" s="52">
        <f t="shared" si="43"/>
        <v>0</v>
      </c>
      <c r="AN36" s="52">
        <f t="shared" si="43"/>
        <v>0</v>
      </c>
      <c r="AO36" s="52">
        <f t="shared" si="43"/>
        <v>0</v>
      </c>
      <c r="AP36" s="52">
        <f t="shared" si="43"/>
        <v>0</v>
      </c>
      <c r="AQ36" s="52">
        <f t="shared" si="43"/>
        <v>0</v>
      </c>
      <c r="AR36" s="52">
        <f t="shared" ref="AR36" si="44">AQ38</f>
        <v>0</v>
      </c>
      <c r="AS36" s="52">
        <f t="shared" ref="AS36" si="45">AR38</f>
        <v>0</v>
      </c>
      <c r="AT36" s="52">
        <f t="shared" ref="AT36" si="46">AS38</f>
        <v>0</v>
      </c>
      <c r="AU36" s="52">
        <f t="shared" ref="AU36" si="47">AT38</f>
        <v>0</v>
      </c>
      <c r="AV36" s="52">
        <f t="shared" ref="AV36" si="48">AU38</f>
        <v>0</v>
      </c>
      <c r="AW36" s="52">
        <f t="shared" ref="AW36" si="49">AV38</f>
        <v>0</v>
      </c>
      <c r="AX36" s="52">
        <f t="shared" ref="AX36" si="50">AW38</f>
        <v>0</v>
      </c>
      <c r="AY36" s="52">
        <f t="shared" ref="AY36" si="51">AX38</f>
        <v>0</v>
      </c>
      <c r="AZ36" s="52">
        <f t="shared" ref="AZ36" si="52">AY38</f>
        <v>0</v>
      </c>
      <c r="BA36" s="52">
        <f t="shared" ref="BA36" si="53">AZ38</f>
        <v>0</v>
      </c>
      <c r="BB36" s="52">
        <f t="shared" ref="BB36" si="54">BA38</f>
        <v>0</v>
      </c>
      <c r="BC36" s="52">
        <f t="shared" ref="BC36" si="55">BB38</f>
        <v>0</v>
      </c>
    </row>
    <row r="37" spans="1:55" ht="12.95" customHeight="1">
      <c r="A37" s="4"/>
      <c r="B37" s="36" t="s">
        <v>3</v>
      </c>
      <c r="C37" s="35" t="s">
        <v>139</v>
      </c>
      <c r="D37" s="216">
        <f>O11 * 0.001</f>
        <v>41.089349052631583</v>
      </c>
      <c r="E37" s="4"/>
      <c r="F37" s="4"/>
      <c r="G37" s="4"/>
      <c r="H37" s="4"/>
      <c r="I37" s="25" t="s">
        <v>43</v>
      </c>
      <c r="J37" s="35" t="s">
        <v>69</v>
      </c>
      <c r="K37" s="52"/>
      <c r="L37" s="52"/>
      <c r="M37" s="52"/>
      <c r="N37" s="52"/>
      <c r="O37" s="108">
        <f>$D$28*$O$36</f>
        <v>2800000</v>
      </c>
      <c r="P37" s="52">
        <f t="shared" ref="P37:AQ37" si="56">IF(AND(P34&lt;$J35,P34&lt;$D29), O37, IF(O38&gt;0, O38, 0))</f>
        <v>2800000</v>
      </c>
      <c r="Q37" s="52">
        <f t="shared" si="56"/>
        <v>2800000</v>
      </c>
      <c r="R37" s="52">
        <f t="shared" si="56"/>
        <v>2800000</v>
      </c>
      <c r="S37" s="52">
        <f t="shared" si="56"/>
        <v>2800000</v>
      </c>
      <c r="T37" s="52">
        <f t="shared" si="56"/>
        <v>2800000</v>
      </c>
      <c r="U37" s="52">
        <f t="shared" si="56"/>
        <v>2800000</v>
      </c>
      <c r="V37" s="52">
        <f t="shared" si="56"/>
        <v>2800000</v>
      </c>
      <c r="W37" s="52">
        <f t="shared" si="56"/>
        <v>2800000</v>
      </c>
      <c r="X37" s="52">
        <f t="shared" si="56"/>
        <v>2800000</v>
      </c>
      <c r="Y37" s="52">
        <f t="shared" si="56"/>
        <v>2800000</v>
      </c>
      <c r="Z37" s="52">
        <f t="shared" si="56"/>
        <v>2800000</v>
      </c>
      <c r="AA37" s="52">
        <f t="shared" si="56"/>
        <v>2800000</v>
      </c>
      <c r="AB37" s="52">
        <f t="shared" si="56"/>
        <v>2800000</v>
      </c>
      <c r="AC37" s="52">
        <f t="shared" si="56"/>
        <v>2800000</v>
      </c>
      <c r="AD37" s="52">
        <f t="shared" si="56"/>
        <v>2800000</v>
      </c>
      <c r="AE37" s="52">
        <f t="shared" si="56"/>
        <v>2800000</v>
      </c>
      <c r="AF37" s="52">
        <f t="shared" si="56"/>
        <v>2800000</v>
      </c>
      <c r="AG37" s="52">
        <f t="shared" si="56"/>
        <v>2800000</v>
      </c>
      <c r="AH37" s="52">
        <f t="shared" si="56"/>
        <v>2800000</v>
      </c>
      <c r="AI37" s="52">
        <f t="shared" si="56"/>
        <v>0</v>
      </c>
      <c r="AJ37" s="52">
        <f t="shared" si="56"/>
        <v>0</v>
      </c>
      <c r="AK37" s="52">
        <f t="shared" si="56"/>
        <v>0</v>
      </c>
      <c r="AL37" s="52">
        <f t="shared" si="56"/>
        <v>0</v>
      </c>
      <c r="AM37" s="52">
        <f t="shared" si="56"/>
        <v>0</v>
      </c>
      <c r="AN37" s="52">
        <f t="shared" si="56"/>
        <v>0</v>
      </c>
      <c r="AO37" s="52">
        <f t="shared" si="56"/>
        <v>0</v>
      </c>
      <c r="AP37" s="52">
        <f t="shared" si="56"/>
        <v>0</v>
      </c>
      <c r="AQ37" s="52">
        <f t="shared" si="56"/>
        <v>0</v>
      </c>
      <c r="AR37" s="52">
        <f t="shared" ref="AR37" si="57">IF(AND(AR34&lt;$J35,AR34&lt;$D29), AQ37, IF(AQ38&gt;0, AQ38, 0))</f>
        <v>0</v>
      </c>
      <c r="AS37" s="52">
        <f t="shared" ref="AS37" si="58">IF(AND(AS34&lt;$J35,AS34&lt;$D29), AR37, IF(AR38&gt;0, AR38, 0))</f>
        <v>0</v>
      </c>
      <c r="AT37" s="52">
        <f t="shared" ref="AT37" si="59">IF(AND(AT34&lt;$J35,AT34&lt;$D29), AS37, IF(AS38&gt;0, AS38, 0))</f>
        <v>0</v>
      </c>
      <c r="AU37" s="52">
        <f t="shared" ref="AU37" si="60">IF(AND(AU34&lt;$J35,AU34&lt;$D29), AT37, IF(AT38&gt;0, AT38, 0))</f>
        <v>0</v>
      </c>
      <c r="AV37" s="52">
        <f t="shared" ref="AV37" si="61">IF(AND(AV34&lt;$J35,AV34&lt;$D29), AU37, IF(AU38&gt;0, AU38, 0))</f>
        <v>0</v>
      </c>
      <c r="AW37" s="52">
        <f t="shared" ref="AW37" si="62">IF(AND(AW34&lt;$J35,AW34&lt;$D29), AV37, IF(AV38&gt;0, AV38, 0))</f>
        <v>0</v>
      </c>
      <c r="AX37" s="52">
        <f t="shared" ref="AX37" si="63">IF(AND(AX34&lt;$J35,AX34&lt;$D29), AW37, IF(AW38&gt;0, AW38, 0))</f>
        <v>0</v>
      </c>
      <c r="AY37" s="52">
        <f t="shared" ref="AY37" si="64">IF(AND(AY34&lt;$J35,AY34&lt;$D29), AX37, IF(AX38&gt;0, AX38, 0))</f>
        <v>0</v>
      </c>
      <c r="AZ37" s="52">
        <f t="shared" ref="AZ37" si="65">IF(AND(AZ34&lt;$J35,AZ34&lt;$D29), AY37, IF(AY38&gt;0, AY38, 0))</f>
        <v>0</v>
      </c>
      <c r="BA37" s="52">
        <f t="shared" ref="BA37" si="66">IF(AND(BA34&lt;$J35,BA34&lt;$D29), AZ37, IF(AZ38&gt;0, AZ38, 0))</f>
        <v>0</v>
      </c>
      <c r="BB37" s="52">
        <f t="shared" ref="BB37" si="67">IF(AND(BB34&lt;$J35,BB34&lt;$D29), BA37, IF(BA38&gt;0, BA38, 0))</f>
        <v>0</v>
      </c>
      <c r="BC37" s="52">
        <f t="shared" ref="BC37" si="68">IF(AND(BC34&lt;$J35,BC34&lt;$D29), BB37, IF(BB38&gt;0, BB38, 0))</f>
        <v>0</v>
      </c>
    </row>
    <row r="38" spans="1:55" ht="12.95" customHeight="1">
      <c r="A38" s="4"/>
      <c r="B38" s="172" t="s">
        <v>0</v>
      </c>
      <c r="C38" s="81" t="s">
        <v>139</v>
      </c>
      <c r="D38" s="217">
        <f>+D34+D36+D37+D35</f>
        <v>78.631674537517398</v>
      </c>
      <c r="E38" s="4"/>
      <c r="F38" s="4"/>
      <c r="G38" s="4"/>
      <c r="H38" s="4"/>
      <c r="I38" s="25" t="s">
        <v>44</v>
      </c>
      <c r="J38" s="35" t="s">
        <v>69</v>
      </c>
      <c r="K38" s="52"/>
      <c r="L38" s="52"/>
      <c r="M38" s="52"/>
      <c r="N38" s="52"/>
      <c r="O38" s="52">
        <f t="shared" ref="O38:AC38" si="69">O36-O37</f>
        <v>53200000</v>
      </c>
      <c r="P38" s="52">
        <f t="shared" si="69"/>
        <v>50400000</v>
      </c>
      <c r="Q38" s="52">
        <f t="shared" si="69"/>
        <v>47600000</v>
      </c>
      <c r="R38" s="52">
        <f t="shared" si="69"/>
        <v>44800000</v>
      </c>
      <c r="S38" s="52">
        <f t="shared" si="69"/>
        <v>42000000</v>
      </c>
      <c r="T38" s="52">
        <f t="shared" si="69"/>
        <v>39200000</v>
      </c>
      <c r="U38" s="52">
        <f t="shared" si="69"/>
        <v>36400000</v>
      </c>
      <c r="V38" s="52">
        <f t="shared" si="69"/>
        <v>33600000</v>
      </c>
      <c r="W38" s="52">
        <f t="shared" si="69"/>
        <v>30800000</v>
      </c>
      <c r="X38" s="52">
        <f t="shared" si="69"/>
        <v>28000000</v>
      </c>
      <c r="Y38" s="52">
        <f t="shared" si="69"/>
        <v>25200000</v>
      </c>
      <c r="Z38" s="52">
        <f t="shared" si="69"/>
        <v>22400000</v>
      </c>
      <c r="AA38" s="52">
        <f t="shared" si="69"/>
        <v>19600000</v>
      </c>
      <c r="AB38" s="52">
        <f t="shared" si="69"/>
        <v>16800000</v>
      </c>
      <c r="AC38" s="52">
        <f t="shared" si="69"/>
        <v>14000000</v>
      </c>
      <c r="AD38" s="52">
        <f t="shared" ref="AD38:AQ38" si="70">AD36-AD37</f>
        <v>11200000</v>
      </c>
      <c r="AE38" s="52">
        <f t="shared" si="70"/>
        <v>8400000</v>
      </c>
      <c r="AF38" s="52">
        <f t="shared" si="70"/>
        <v>5600000</v>
      </c>
      <c r="AG38" s="52">
        <f t="shared" si="70"/>
        <v>2800000</v>
      </c>
      <c r="AH38" s="52">
        <f t="shared" si="70"/>
        <v>0</v>
      </c>
      <c r="AI38" s="52">
        <f t="shared" si="70"/>
        <v>0</v>
      </c>
      <c r="AJ38" s="52">
        <f t="shared" si="70"/>
        <v>0</v>
      </c>
      <c r="AK38" s="52">
        <f t="shared" si="70"/>
        <v>0</v>
      </c>
      <c r="AL38" s="52">
        <f t="shared" si="70"/>
        <v>0</v>
      </c>
      <c r="AM38" s="52">
        <f t="shared" si="70"/>
        <v>0</v>
      </c>
      <c r="AN38" s="52">
        <f t="shared" si="70"/>
        <v>0</v>
      </c>
      <c r="AO38" s="52">
        <f t="shared" si="70"/>
        <v>0</v>
      </c>
      <c r="AP38" s="52">
        <f t="shared" si="70"/>
        <v>0</v>
      </c>
      <c r="AQ38" s="52">
        <f t="shared" si="70"/>
        <v>0</v>
      </c>
      <c r="AR38" s="52">
        <f t="shared" ref="AR38:BC38" si="71">AR36-AR37</f>
        <v>0</v>
      </c>
      <c r="AS38" s="52">
        <f t="shared" si="71"/>
        <v>0</v>
      </c>
      <c r="AT38" s="52">
        <f t="shared" si="71"/>
        <v>0</v>
      </c>
      <c r="AU38" s="52">
        <f t="shared" si="71"/>
        <v>0</v>
      </c>
      <c r="AV38" s="52">
        <f t="shared" si="71"/>
        <v>0</v>
      </c>
      <c r="AW38" s="52">
        <f t="shared" si="71"/>
        <v>0</v>
      </c>
      <c r="AX38" s="52">
        <f t="shared" si="71"/>
        <v>0</v>
      </c>
      <c r="AY38" s="52">
        <f t="shared" si="71"/>
        <v>0</v>
      </c>
      <c r="AZ38" s="52">
        <f t="shared" si="71"/>
        <v>0</v>
      </c>
      <c r="BA38" s="52">
        <f t="shared" si="71"/>
        <v>0</v>
      </c>
      <c r="BB38" s="52">
        <f t="shared" si="71"/>
        <v>0</v>
      </c>
      <c r="BC38" s="52">
        <f t="shared" si="71"/>
        <v>0</v>
      </c>
    </row>
    <row r="39" spans="1:55" ht="12.95" customHeight="1">
      <c r="A39" s="4"/>
      <c r="B39" s="4"/>
      <c r="C39" s="35"/>
      <c r="D39" s="4"/>
      <c r="E39" s="4"/>
      <c r="F39" s="4"/>
      <c r="G39" s="4"/>
      <c r="H39" s="4"/>
      <c r="I39" s="27"/>
      <c r="J39" s="40"/>
      <c r="K39" s="59"/>
      <c r="L39" s="59"/>
      <c r="M39" s="59"/>
      <c r="N39" s="59"/>
      <c r="O39" s="59"/>
      <c r="P39" s="121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</row>
    <row r="40" spans="1:55" ht="12.95" customHeight="1">
      <c r="A40" s="4"/>
      <c r="B40" s="4"/>
      <c r="C40" s="4"/>
      <c r="D40" s="4"/>
      <c r="E40" s="4"/>
      <c r="F40" s="4"/>
      <c r="G40" s="4"/>
      <c r="H40" s="4"/>
      <c r="I40" s="4"/>
      <c r="J40" s="3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 spans="1:55" ht="12.95" customHeight="1">
      <c r="A41" s="4"/>
      <c r="B41" s="4" t="s">
        <v>76</v>
      </c>
      <c r="C41" s="35"/>
      <c r="D41" s="4"/>
      <c r="E41" s="4"/>
      <c r="F41" s="4"/>
      <c r="G41" s="4"/>
      <c r="H41" s="4"/>
      <c r="I41" s="58" t="s">
        <v>45</v>
      </c>
      <c r="J41" s="35"/>
      <c r="K41" s="4"/>
      <c r="L41" s="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 spans="1:55" ht="12.95" customHeight="1">
      <c r="A42" s="4"/>
      <c r="B42" s="4"/>
      <c r="C42" s="35"/>
      <c r="D42" s="4"/>
      <c r="E42" s="4"/>
      <c r="F42" s="4"/>
      <c r="G42" s="4"/>
      <c r="H42" s="4"/>
      <c r="I42" s="122"/>
      <c r="J42" s="123"/>
      <c r="K42" s="87">
        <v>-4</v>
      </c>
      <c r="L42" s="87">
        <v>-3</v>
      </c>
      <c r="M42" s="87">
        <v>-2</v>
      </c>
      <c r="N42" s="87">
        <v>-1</v>
      </c>
      <c r="O42" s="87">
        <v>1</v>
      </c>
      <c r="P42" s="87">
        <v>2</v>
      </c>
      <c r="Q42" s="87">
        <v>3</v>
      </c>
      <c r="R42" s="87">
        <v>4</v>
      </c>
      <c r="S42" s="87">
        <v>5</v>
      </c>
      <c r="T42" s="87">
        <v>6</v>
      </c>
      <c r="U42" s="87">
        <v>7</v>
      </c>
      <c r="V42" s="87">
        <v>8</v>
      </c>
      <c r="W42" s="87">
        <v>9</v>
      </c>
      <c r="X42" s="87">
        <v>10</v>
      </c>
      <c r="Y42" s="87">
        <v>11</v>
      </c>
      <c r="Z42" s="87">
        <v>12</v>
      </c>
      <c r="AA42" s="87">
        <v>13</v>
      </c>
      <c r="AB42" s="87">
        <v>14</v>
      </c>
      <c r="AC42" s="87">
        <v>15</v>
      </c>
      <c r="AD42" s="87">
        <v>16</v>
      </c>
      <c r="AE42" s="87">
        <v>17</v>
      </c>
      <c r="AF42" s="87">
        <v>18</v>
      </c>
      <c r="AG42" s="87">
        <v>19</v>
      </c>
      <c r="AH42" s="87">
        <v>20</v>
      </c>
      <c r="AI42" s="87">
        <v>21</v>
      </c>
      <c r="AJ42" s="87">
        <v>22</v>
      </c>
      <c r="AK42" s="87">
        <v>23</v>
      </c>
      <c r="AL42" s="87">
        <v>24</v>
      </c>
      <c r="AM42" s="87">
        <v>25</v>
      </c>
      <c r="AN42" s="87">
        <v>26</v>
      </c>
      <c r="AO42" s="87">
        <v>27</v>
      </c>
      <c r="AP42" s="87">
        <v>28</v>
      </c>
      <c r="AQ42" s="87">
        <v>29</v>
      </c>
      <c r="AR42" s="87">
        <v>30</v>
      </c>
      <c r="AS42" s="87">
        <v>31</v>
      </c>
      <c r="AT42" s="87">
        <v>32</v>
      </c>
      <c r="AU42" s="87">
        <v>33</v>
      </c>
      <c r="AV42" s="87">
        <v>34</v>
      </c>
      <c r="AW42" s="87">
        <v>35</v>
      </c>
      <c r="AX42" s="87">
        <v>36</v>
      </c>
      <c r="AY42" s="87">
        <v>37</v>
      </c>
      <c r="AZ42" s="87">
        <v>38</v>
      </c>
      <c r="BA42" s="87">
        <v>39</v>
      </c>
      <c r="BB42" s="87">
        <v>40</v>
      </c>
      <c r="BC42" s="87">
        <v>41</v>
      </c>
    </row>
    <row r="43" spans="1:55" ht="12.95" customHeight="1">
      <c r="A43" s="4"/>
      <c r="B43" s="4"/>
      <c r="C43" s="35"/>
      <c r="D43" s="4"/>
      <c r="E43" s="4"/>
      <c r="F43" s="4"/>
      <c r="G43" s="4"/>
      <c r="H43" s="4"/>
      <c r="I43" s="25"/>
      <c r="J43" s="3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5" ht="12.95" customHeight="1">
      <c r="A44" s="4"/>
      <c r="B44" s="4"/>
      <c r="C44" s="35"/>
      <c r="D44" s="4"/>
      <c r="E44" s="4"/>
      <c r="F44" s="4"/>
      <c r="G44" s="4"/>
      <c r="H44" s="4"/>
      <c r="I44" s="25" t="s">
        <v>46</v>
      </c>
      <c r="J44" s="35" t="s">
        <v>69</v>
      </c>
      <c r="K44" s="52">
        <v>0</v>
      </c>
      <c r="L44" s="52">
        <v>0</v>
      </c>
      <c r="M44" s="52">
        <v>0</v>
      </c>
      <c r="N44" s="52">
        <v>0</v>
      </c>
      <c r="O44" s="52">
        <f>O15-SUM(O19,O20,O21,O23,O24)</f>
        <v>17285238.662781477</v>
      </c>
      <c r="P44" s="52">
        <f t="shared" ref="P44:AQ44" si="72">P15-SUM(P19,P20,P21,P23,P24)</f>
        <v>17285238.662781477</v>
      </c>
      <c r="Q44" s="52">
        <f t="shared" si="72"/>
        <v>17285238.662781477</v>
      </c>
      <c r="R44" s="52">
        <f t="shared" si="72"/>
        <v>17285238.662781477</v>
      </c>
      <c r="S44" s="52">
        <f t="shared" si="72"/>
        <v>17285238.662781477</v>
      </c>
      <c r="T44" s="52">
        <f t="shared" si="72"/>
        <v>17285238.662781477</v>
      </c>
      <c r="U44" s="52">
        <f t="shared" si="72"/>
        <v>17285238.662781477</v>
      </c>
      <c r="V44" s="52">
        <f t="shared" si="72"/>
        <v>17285238.662781477</v>
      </c>
      <c r="W44" s="52">
        <f t="shared" si="72"/>
        <v>17285238.662781477</v>
      </c>
      <c r="X44" s="52">
        <f t="shared" si="72"/>
        <v>17285238.662781477</v>
      </c>
      <c r="Y44" s="52">
        <f t="shared" si="72"/>
        <v>17285238.662781477</v>
      </c>
      <c r="Z44" s="52">
        <f t="shared" si="72"/>
        <v>17285238.662781477</v>
      </c>
      <c r="AA44" s="52">
        <f t="shared" si="72"/>
        <v>17285238.662781477</v>
      </c>
      <c r="AB44" s="52">
        <f t="shared" si="72"/>
        <v>17285238.662781477</v>
      </c>
      <c r="AC44" s="52">
        <f t="shared" si="72"/>
        <v>17285238.662781477</v>
      </c>
      <c r="AD44" s="52">
        <f t="shared" si="72"/>
        <v>17285238.662781477</v>
      </c>
      <c r="AE44" s="52">
        <f t="shared" si="72"/>
        <v>17285238.662781477</v>
      </c>
      <c r="AF44" s="52">
        <f t="shared" si="72"/>
        <v>17285238.662781477</v>
      </c>
      <c r="AG44" s="52">
        <f t="shared" si="72"/>
        <v>17285238.662781477</v>
      </c>
      <c r="AH44" s="52">
        <f t="shared" si="72"/>
        <v>17285238.662781477</v>
      </c>
      <c r="AI44" s="52">
        <f t="shared" si="72"/>
        <v>0</v>
      </c>
      <c r="AJ44" s="52">
        <f t="shared" si="72"/>
        <v>0</v>
      </c>
      <c r="AK44" s="52">
        <f t="shared" si="72"/>
        <v>0</v>
      </c>
      <c r="AL44" s="52">
        <f t="shared" si="72"/>
        <v>0</v>
      </c>
      <c r="AM44" s="52">
        <f t="shared" si="72"/>
        <v>0</v>
      </c>
      <c r="AN44" s="52">
        <f t="shared" si="72"/>
        <v>0</v>
      </c>
      <c r="AO44" s="52">
        <f t="shared" si="72"/>
        <v>0</v>
      </c>
      <c r="AP44" s="52">
        <f t="shared" si="72"/>
        <v>0</v>
      </c>
      <c r="AQ44" s="52">
        <f t="shared" si="72"/>
        <v>0</v>
      </c>
      <c r="AR44" s="52">
        <f t="shared" ref="AR44:BC44" si="73">AR15-SUM(AR19,AR20,AR21,AR23,AR24)</f>
        <v>0</v>
      </c>
      <c r="AS44" s="52">
        <f t="shared" si="73"/>
        <v>0</v>
      </c>
      <c r="AT44" s="52">
        <f t="shared" si="73"/>
        <v>0</v>
      </c>
      <c r="AU44" s="52">
        <f t="shared" si="73"/>
        <v>0</v>
      </c>
      <c r="AV44" s="52">
        <f t="shared" si="73"/>
        <v>0</v>
      </c>
      <c r="AW44" s="52">
        <f t="shared" si="73"/>
        <v>0</v>
      </c>
      <c r="AX44" s="52">
        <f t="shared" si="73"/>
        <v>0</v>
      </c>
      <c r="AY44" s="52">
        <f t="shared" si="73"/>
        <v>0</v>
      </c>
      <c r="AZ44" s="52">
        <f t="shared" si="73"/>
        <v>0</v>
      </c>
      <c r="BA44" s="52">
        <f t="shared" si="73"/>
        <v>0</v>
      </c>
      <c r="BB44" s="52">
        <f t="shared" si="73"/>
        <v>0</v>
      </c>
      <c r="BC44" s="52">
        <f t="shared" si="73"/>
        <v>0</v>
      </c>
    </row>
    <row r="45" spans="1:55" ht="12.95" customHeight="1">
      <c r="A45" s="4"/>
      <c r="B45" s="4"/>
      <c r="C45" s="35"/>
      <c r="D45" s="4"/>
      <c r="E45" s="4"/>
      <c r="F45" s="4"/>
      <c r="G45" s="4"/>
      <c r="H45" s="4"/>
      <c r="I45" s="25" t="s">
        <v>43</v>
      </c>
      <c r="J45" s="35" t="s">
        <v>69</v>
      </c>
      <c r="K45" s="52">
        <f>K37</f>
        <v>0</v>
      </c>
      <c r="L45" s="52">
        <f>L37</f>
        <v>0</v>
      </c>
      <c r="M45" s="52">
        <f t="shared" ref="M45:AD45" si="74">M37</f>
        <v>0</v>
      </c>
      <c r="N45" s="52">
        <f t="shared" si="74"/>
        <v>0</v>
      </c>
      <c r="O45" s="52">
        <f t="shared" si="74"/>
        <v>2800000</v>
      </c>
      <c r="P45" s="52">
        <f t="shared" si="74"/>
        <v>2800000</v>
      </c>
      <c r="Q45" s="52">
        <f t="shared" si="74"/>
        <v>2800000</v>
      </c>
      <c r="R45" s="52">
        <f t="shared" si="74"/>
        <v>2800000</v>
      </c>
      <c r="S45" s="52">
        <f t="shared" si="74"/>
        <v>2800000</v>
      </c>
      <c r="T45" s="52">
        <f t="shared" si="74"/>
        <v>2800000</v>
      </c>
      <c r="U45" s="52">
        <f t="shared" si="74"/>
        <v>2800000</v>
      </c>
      <c r="V45" s="52">
        <f t="shared" si="74"/>
        <v>2800000</v>
      </c>
      <c r="W45" s="52">
        <f t="shared" si="74"/>
        <v>2800000</v>
      </c>
      <c r="X45" s="52">
        <f t="shared" si="74"/>
        <v>2800000</v>
      </c>
      <c r="Y45" s="52">
        <f t="shared" si="74"/>
        <v>2800000</v>
      </c>
      <c r="Z45" s="52">
        <f t="shared" si="74"/>
        <v>2800000</v>
      </c>
      <c r="AA45" s="52">
        <f t="shared" si="74"/>
        <v>2800000</v>
      </c>
      <c r="AB45" s="52">
        <f t="shared" si="74"/>
        <v>2800000</v>
      </c>
      <c r="AC45" s="52">
        <f t="shared" si="74"/>
        <v>2800000</v>
      </c>
      <c r="AD45" s="52">
        <f t="shared" si="74"/>
        <v>2800000</v>
      </c>
      <c r="AE45" s="52">
        <f t="shared" ref="AE45:AQ45" si="75">AE37</f>
        <v>2800000</v>
      </c>
      <c r="AF45" s="52">
        <f t="shared" si="75"/>
        <v>2800000</v>
      </c>
      <c r="AG45" s="52">
        <f t="shared" si="75"/>
        <v>2800000</v>
      </c>
      <c r="AH45" s="52">
        <f t="shared" si="75"/>
        <v>2800000</v>
      </c>
      <c r="AI45" s="52">
        <f t="shared" si="75"/>
        <v>0</v>
      </c>
      <c r="AJ45" s="52">
        <f t="shared" si="75"/>
        <v>0</v>
      </c>
      <c r="AK45" s="52">
        <f t="shared" si="75"/>
        <v>0</v>
      </c>
      <c r="AL45" s="52">
        <f t="shared" si="75"/>
        <v>0</v>
      </c>
      <c r="AM45" s="52">
        <f t="shared" si="75"/>
        <v>0</v>
      </c>
      <c r="AN45" s="52">
        <f t="shared" si="75"/>
        <v>0</v>
      </c>
      <c r="AO45" s="52">
        <f t="shared" si="75"/>
        <v>0</v>
      </c>
      <c r="AP45" s="52">
        <f t="shared" si="75"/>
        <v>0</v>
      </c>
      <c r="AQ45" s="52">
        <f t="shared" si="75"/>
        <v>0</v>
      </c>
      <c r="AR45" s="52">
        <f t="shared" ref="AR45:BC45" si="76">AR37</f>
        <v>0</v>
      </c>
      <c r="AS45" s="52">
        <f t="shared" si="76"/>
        <v>0</v>
      </c>
      <c r="AT45" s="52">
        <f t="shared" si="76"/>
        <v>0</v>
      </c>
      <c r="AU45" s="52">
        <f t="shared" si="76"/>
        <v>0</v>
      </c>
      <c r="AV45" s="52">
        <f t="shared" si="76"/>
        <v>0</v>
      </c>
      <c r="AW45" s="52">
        <f t="shared" si="76"/>
        <v>0</v>
      </c>
      <c r="AX45" s="52">
        <f t="shared" si="76"/>
        <v>0</v>
      </c>
      <c r="AY45" s="52">
        <f t="shared" si="76"/>
        <v>0</v>
      </c>
      <c r="AZ45" s="52">
        <f t="shared" si="76"/>
        <v>0</v>
      </c>
      <c r="BA45" s="52">
        <f t="shared" si="76"/>
        <v>0</v>
      </c>
      <c r="BB45" s="52">
        <f t="shared" si="76"/>
        <v>0</v>
      </c>
      <c r="BC45" s="52">
        <f t="shared" si="76"/>
        <v>0</v>
      </c>
    </row>
    <row r="46" spans="1:55" ht="12.95" customHeight="1">
      <c r="A46" s="4"/>
      <c r="B46" s="4"/>
      <c r="C46" s="35"/>
      <c r="D46" s="4"/>
      <c r="E46" s="4"/>
      <c r="F46" s="4"/>
      <c r="G46" s="4"/>
      <c r="H46" s="4"/>
      <c r="I46" s="25" t="s">
        <v>47</v>
      </c>
      <c r="J46" s="35" t="s">
        <v>69</v>
      </c>
      <c r="K46" s="52">
        <v>0</v>
      </c>
      <c r="L46" s="52">
        <v>0</v>
      </c>
      <c r="M46" s="52">
        <v>0</v>
      </c>
      <c r="N46" s="52">
        <v>0</v>
      </c>
      <c r="O46" s="52">
        <f t="shared" ref="O46:AD46" si="77">O44-O45</f>
        <v>14485238.662781477</v>
      </c>
      <c r="P46" s="52">
        <f t="shared" si="77"/>
        <v>14485238.662781477</v>
      </c>
      <c r="Q46" s="52">
        <f t="shared" si="77"/>
        <v>14485238.662781477</v>
      </c>
      <c r="R46" s="52">
        <f t="shared" si="77"/>
        <v>14485238.662781477</v>
      </c>
      <c r="S46" s="52">
        <f t="shared" si="77"/>
        <v>14485238.662781477</v>
      </c>
      <c r="T46" s="52">
        <f t="shared" si="77"/>
        <v>14485238.662781477</v>
      </c>
      <c r="U46" s="52">
        <f t="shared" si="77"/>
        <v>14485238.662781477</v>
      </c>
      <c r="V46" s="52">
        <f t="shared" si="77"/>
        <v>14485238.662781477</v>
      </c>
      <c r="W46" s="52">
        <f t="shared" si="77"/>
        <v>14485238.662781477</v>
      </c>
      <c r="X46" s="52">
        <f t="shared" si="77"/>
        <v>14485238.662781477</v>
      </c>
      <c r="Y46" s="52">
        <f t="shared" si="77"/>
        <v>14485238.662781477</v>
      </c>
      <c r="Z46" s="52">
        <f t="shared" si="77"/>
        <v>14485238.662781477</v>
      </c>
      <c r="AA46" s="52">
        <f t="shared" si="77"/>
        <v>14485238.662781477</v>
      </c>
      <c r="AB46" s="52">
        <f t="shared" si="77"/>
        <v>14485238.662781477</v>
      </c>
      <c r="AC46" s="52">
        <f t="shared" si="77"/>
        <v>14485238.662781477</v>
      </c>
      <c r="AD46" s="52">
        <f t="shared" si="77"/>
        <v>14485238.662781477</v>
      </c>
      <c r="AE46" s="52">
        <f t="shared" ref="AE46:AQ46" si="78">AE44-AE45</f>
        <v>14485238.662781477</v>
      </c>
      <c r="AF46" s="52">
        <f t="shared" si="78"/>
        <v>14485238.662781477</v>
      </c>
      <c r="AG46" s="52">
        <f t="shared" si="78"/>
        <v>14485238.662781477</v>
      </c>
      <c r="AH46" s="52">
        <f t="shared" si="78"/>
        <v>14485238.662781477</v>
      </c>
      <c r="AI46" s="52">
        <f t="shared" si="78"/>
        <v>0</v>
      </c>
      <c r="AJ46" s="52">
        <f t="shared" si="78"/>
        <v>0</v>
      </c>
      <c r="AK46" s="52">
        <f t="shared" si="78"/>
        <v>0</v>
      </c>
      <c r="AL46" s="52">
        <f t="shared" si="78"/>
        <v>0</v>
      </c>
      <c r="AM46" s="52">
        <f t="shared" si="78"/>
        <v>0</v>
      </c>
      <c r="AN46" s="52">
        <f t="shared" si="78"/>
        <v>0</v>
      </c>
      <c r="AO46" s="52">
        <f t="shared" si="78"/>
        <v>0</v>
      </c>
      <c r="AP46" s="52">
        <f t="shared" si="78"/>
        <v>0</v>
      </c>
      <c r="AQ46" s="52">
        <f t="shared" si="78"/>
        <v>0</v>
      </c>
      <c r="AR46" s="52">
        <f t="shared" ref="AR46:BC46" si="79">AR44-AR45</f>
        <v>0</v>
      </c>
      <c r="AS46" s="52">
        <f t="shared" si="79"/>
        <v>0</v>
      </c>
      <c r="AT46" s="52">
        <f t="shared" si="79"/>
        <v>0</v>
      </c>
      <c r="AU46" s="52">
        <f t="shared" si="79"/>
        <v>0</v>
      </c>
      <c r="AV46" s="52">
        <f t="shared" si="79"/>
        <v>0</v>
      </c>
      <c r="AW46" s="52">
        <f t="shared" si="79"/>
        <v>0</v>
      </c>
      <c r="AX46" s="52">
        <f t="shared" si="79"/>
        <v>0</v>
      </c>
      <c r="AY46" s="52">
        <f t="shared" si="79"/>
        <v>0</v>
      </c>
      <c r="AZ46" s="52">
        <f t="shared" si="79"/>
        <v>0</v>
      </c>
      <c r="BA46" s="52">
        <f t="shared" si="79"/>
        <v>0</v>
      </c>
      <c r="BB46" s="52">
        <f t="shared" si="79"/>
        <v>0</v>
      </c>
      <c r="BC46" s="52">
        <f t="shared" si="79"/>
        <v>0</v>
      </c>
    </row>
    <row r="47" spans="1:55" ht="12.95" customHeight="1">
      <c r="A47" s="4"/>
      <c r="B47" s="4"/>
      <c r="C47" s="35"/>
      <c r="D47" s="4"/>
      <c r="E47" s="4"/>
      <c r="F47" s="4"/>
      <c r="G47" s="4"/>
      <c r="H47" s="4"/>
      <c r="I47" s="25" t="s">
        <v>130</v>
      </c>
      <c r="J47" s="35" t="s">
        <v>69</v>
      </c>
      <c r="K47" s="52">
        <v>0</v>
      </c>
      <c r="L47" s="52">
        <v>0</v>
      </c>
      <c r="M47" s="52">
        <v>0</v>
      </c>
      <c r="N47" s="52">
        <v>0</v>
      </c>
      <c r="O47" s="52">
        <f t="shared" ref="O47:AQ47" si="80">$D$31*O46</f>
        <v>4635276.3720900724</v>
      </c>
      <c r="P47" s="52">
        <f t="shared" si="80"/>
        <v>4635276.3720900724</v>
      </c>
      <c r="Q47" s="52">
        <f t="shared" si="80"/>
        <v>4635276.3720900724</v>
      </c>
      <c r="R47" s="52">
        <f t="shared" si="80"/>
        <v>4635276.3720900724</v>
      </c>
      <c r="S47" s="52">
        <f t="shared" si="80"/>
        <v>4635276.3720900724</v>
      </c>
      <c r="T47" s="52">
        <f t="shared" si="80"/>
        <v>4635276.3720900724</v>
      </c>
      <c r="U47" s="52">
        <f t="shared" si="80"/>
        <v>4635276.3720900724</v>
      </c>
      <c r="V47" s="52">
        <f t="shared" si="80"/>
        <v>4635276.3720900724</v>
      </c>
      <c r="W47" s="52">
        <f t="shared" si="80"/>
        <v>4635276.3720900724</v>
      </c>
      <c r="X47" s="52">
        <f t="shared" si="80"/>
        <v>4635276.3720900724</v>
      </c>
      <c r="Y47" s="52">
        <f t="shared" si="80"/>
        <v>4635276.3720900724</v>
      </c>
      <c r="Z47" s="52">
        <f t="shared" si="80"/>
        <v>4635276.3720900724</v>
      </c>
      <c r="AA47" s="52">
        <f t="shared" si="80"/>
        <v>4635276.3720900724</v>
      </c>
      <c r="AB47" s="52">
        <f t="shared" si="80"/>
        <v>4635276.3720900724</v>
      </c>
      <c r="AC47" s="52">
        <f t="shared" si="80"/>
        <v>4635276.3720900724</v>
      </c>
      <c r="AD47" s="52">
        <f t="shared" si="80"/>
        <v>4635276.3720900724</v>
      </c>
      <c r="AE47" s="52">
        <f t="shared" si="80"/>
        <v>4635276.3720900724</v>
      </c>
      <c r="AF47" s="52">
        <f t="shared" si="80"/>
        <v>4635276.3720900724</v>
      </c>
      <c r="AG47" s="52">
        <f t="shared" si="80"/>
        <v>4635276.3720900724</v>
      </c>
      <c r="AH47" s="52">
        <f t="shared" si="80"/>
        <v>4635276.3720900724</v>
      </c>
      <c r="AI47" s="52">
        <f t="shared" si="80"/>
        <v>0</v>
      </c>
      <c r="AJ47" s="52">
        <f t="shared" si="80"/>
        <v>0</v>
      </c>
      <c r="AK47" s="52">
        <f t="shared" si="80"/>
        <v>0</v>
      </c>
      <c r="AL47" s="52">
        <f t="shared" si="80"/>
        <v>0</v>
      </c>
      <c r="AM47" s="52">
        <f t="shared" si="80"/>
        <v>0</v>
      </c>
      <c r="AN47" s="52">
        <f t="shared" si="80"/>
        <v>0</v>
      </c>
      <c r="AO47" s="52">
        <f t="shared" si="80"/>
        <v>0</v>
      </c>
      <c r="AP47" s="52">
        <f t="shared" si="80"/>
        <v>0</v>
      </c>
      <c r="AQ47" s="52">
        <f t="shared" si="80"/>
        <v>0</v>
      </c>
      <c r="AR47" s="52">
        <f t="shared" ref="AR47:BC47" si="81">$D$31*AR46</f>
        <v>0</v>
      </c>
      <c r="AS47" s="52">
        <f t="shared" si="81"/>
        <v>0</v>
      </c>
      <c r="AT47" s="52">
        <f t="shared" si="81"/>
        <v>0</v>
      </c>
      <c r="AU47" s="52">
        <f t="shared" si="81"/>
        <v>0</v>
      </c>
      <c r="AV47" s="52">
        <f t="shared" si="81"/>
        <v>0</v>
      </c>
      <c r="AW47" s="52">
        <f t="shared" si="81"/>
        <v>0</v>
      </c>
      <c r="AX47" s="52">
        <f t="shared" si="81"/>
        <v>0</v>
      </c>
      <c r="AY47" s="52">
        <f t="shared" si="81"/>
        <v>0</v>
      </c>
      <c r="AZ47" s="52">
        <f t="shared" si="81"/>
        <v>0</v>
      </c>
      <c r="BA47" s="52">
        <f t="shared" si="81"/>
        <v>0</v>
      </c>
      <c r="BB47" s="52">
        <f t="shared" si="81"/>
        <v>0</v>
      </c>
      <c r="BC47" s="52">
        <f t="shared" si="81"/>
        <v>0</v>
      </c>
    </row>
    <row r="48" spans="1:55" ht="12.95" customHeight="1">
      <c r="A48" s="4"/>
      <c r="B48" s="4"/>
      <c r="C48" s="35"/>
      <c r="D48" s="4"/>
      <c r="E48" s="4"/>
      <c r="F48" s="4"/>
      <c r="G48" s="4"/>
      <c r="H48" s="4"/>
      <c r="I48" s="27"/>
      <c r="J48" s="40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</row>
    <row r="49" spans="1:55" ht="12.95" customHeight="1">
      <c r="A49" s="4"/>
      <c r="B49" s="4"/>
      <c r="C49" s="35"/>
      <c r="D49" s="4"/>
      <c r="E49" s="4"/>
      <c r="F49" s="4"/>
      <c r="G49" s="4"/>
      <c r="H49" s="4"/>
      <c r="I49" s="4"/>
      <c r="J49" s="35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 spans="1:55" ht="12.95" customHeight="1">
      <c r="A50" s="4"/>
      <c r="B50" s="4"/>
      <c r="C50" s="35"/>
      <c r="D50" s="74"/>
      <c r="E50" s="4"/>
      <c r="F50" s="4"/>
      <c r="G50" s="4"/>
      <c r="H50" s="4"/>
      <c r="I50" s="4"/>
      <c r="J50" s="4"/>
      <c r="K50" s="4"/>
      <c r="L50" s="4"/>
      <c r="M50" s="35" t="s">
        <v>113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 spans="1:55" ht="12.95" customHeight="1">
      <c r="A51" s="4"/>
      <c r="B51" s="4"/>
      <c r="C51" s="35"/>
      <c r="D51" s="4"/>
      <c r="E51" s="4"/>
      <c r="F51" s="4"/>
      <c r="G51" s="4"/>
      <c r="H51" s="4"/>
      <c r="I51" s="173" t="str">
        <f>"Startup Year, " &amp;NEM_year</f>
        <v>Startup Year, 2027</v>
      </c>
      <c r="J51" s="174" t="s">
        <v>8</v>
      </c>
      <c r="K51" s="175">
        <v>25151.15023313271</v>
      </c>
      <c r="L51" s="176" t="s">
        <v>8</v>
      </c>
      <c r="M51" s="177">
        <f>NPV</f>
        <v>-7.0164484592775508E-8</v>
      </c>
      <c r="N5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 spans="1:55" ht="12.95" customHeight="1">
      <c r="A52" s="4"/>
      <c r="B52" s="4"/>
      <c r="C52" s="35"/>
      <c r="D52" s="4"/>
      <c r="E52" s="4"/>
      <c r="F52" s="4"/>
      <c r="G52" s="4"/>
      <c r="H52" s="4"/>
      <c r="I52" s="178" t="s">
        <v>106</v>
      </c>
      <c r="J52" s="179" t="s">
        <v>8</v>
      </c>
      <c r="K52" s="180">
        <f>J109 / D11</f>
        <v>786.31674537516585</v>
      </c>
      <c r="L52" s="181" t="s">
        <v>8</v>
      </c>
      <c r="M52" s="106">
        <f>J112</f>
        <v>125636764.96383658</v>
      </c>
      <c r="N5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1:55" ht="12.95" customHeight="1">
      <c r="A53" s="4"/>
      <c r="B53" s="4"/>
      <c r="C53" s="35"/>
      <c r="D53" s="4"/>
      <c r="E53" s="4"/>
      <c r="F53" s="4"/>
      <c r="G53"/>
      <c r="H53"/>
      <c r="I53" s="23" t="s">
        <v>34</v>
      </c>
      <c r="J53" s="41" t="s">
        <v>8</v>
      </c>
      <c r="K53" s="182">
        <f>J119 / D11</f>
        <v>410.89349052630973</v>
      </c>
      <c r="L53" s="183">
        <f t="shared" ref="L53:L59" si="82">K53/$K$52</f>
        <v>0.52255467398225774</v>
      </c>
      <c r="M53" s="124">
        <f>+J122</f>
        <v>65652078.755863443</v>
      </c>
      <c r="N5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1:55" ht="12.95" customHeight="1">
      <c r="A54" s="4"/>
      <c r="B54" s="4"/>
      <c r="C54" s="35"/>
      <c r="D54" s="4"/>
      <c r="E54" s="4"/>
      <c r="F54" s="4"/>
      <c r="G54"/>
      <c r="H54"/>
      <c r="I54" s="25" t="s">
        <v>9</v>
      </c>
      <c r="J54" s="35" t="s">
        <v>8</v>
      </c>
      <c r="K54" s="184">
        <f>J129 / D11</f>
        <v>113.60300994435251</v>
      </c>
      <c r="L54" s="185">
        <f t="shared" si="82"/>
        <v>0.1444748704800258</v>
      </c>
      <c r="M54" s="124">
        <f>+J132</f>
        <v>18151355.345679533</v>
      </c>
      <c r="N5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1:55" ht="12.95" customHeight="1">
      <c r="A55" s="4"/>
      <c r="B55" s="4"/>
      <c r="C55" s="35"/>
      <c r="D55" s="4"/>
      <c r="E55" s="4"/>
      <c r="F55" s="4"/>
      <c r="G55"/>
      <c r="H55"/>
      <c r="I55" s="25" t="s">
        <v>27</v>
      </c>
      <c r="J55" s="35" t="s">
        <v>8</v>
      </c>
      <c r="K55" s="184">
        <f>J139 / D11</f>
        <v>10.308742573178517</v>
      </c>
      <c r="L55" s="185">
        <f t="shared" si="82"/>
        <v>1.3110165380313794E-2</v>
      </c>
      <c r="M55" s="124">
        <f>+J142</f>
        <v>1647118.7665235088</v>
      </c>
      <c r="N5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1:55" ht="12.95" customHeight="1">
      <c r="A56" s="4"/>
      <c r="B56" s="4"/>
      <c r="C56" s="35"/>
      <c r="D56" s="4"/>
      <c r="E56" s="4"/>
      <c r="F56" s="4"/>
      <c r="G56"/>
      <c r="H56"/>
      <c r="I56" s="25" t="s">
        <v>26</v>
      </c>
      <c r="J56" s="35" t="s">
        <v>8</v>
      </c>
      <c r="K56" s="184">
        <f>CapexPayment/D11</f>
        <v>184.06520628593202</v>
      </c>
      <c r="L56" s="185">
        <f t="shared" si="82"/>
        <v>0.23408531913956787</v>
      </c>
      <c r="M56" s="124">
        <f>+J89</f>
        <v>42350000.000000007</v>
      </c>
      <c r="N56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1:55" ht="12.95" customHeight="1">
      <c r="A57" s="4"/>
      <c r="B57" s="4"/>
      <c r="C57" s="35"/>
      <c r="D57" s="4"/>
      <c r="E57" s="4"/>
      <c r="F57" s="4"/>
      <c r="G57"/>
      <c r="H57"/>
      <c r="I57" s="25" t="s">
        <v>57</v>
      </c>
      <c r="J57" s="35" t="s">
        <v>8</v>
      </c>
      <c r="K57" s="184">
        <f>TaxPayment/D11</f>
        <v>67.446296045394959</v>
      </c>
      <c r="L57" s="185">
        <f t="shared" si="82"/>
        <v>8.5774971017837251E-2</v>
      </c>
      <c r="M57" s="124">
        <f>J102</f>
        <v>15518145.417908972</v>
      </c>
      <c r="N57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1:55" ht="12.95" customHeight="1">
      <c r="A58" s="4"/>
      <c r="B58" s="4"/>
      <c r="C58" s="35"/>
      <c r="D58" s="4"/>
      <c r="E58" s="4"/>
      <c r="F58" s="4"/>
      <c r="G58"/>
      <c r="H58"/>
      <c r="I58" s="25" t="s">
        <v>58</v>
      </c>
      <c r="J58" s="35" t="s">
        <v>8</v>
      </c>
      <c r="K58" s="184">
        <f>(D26 + D27) / D11</f>
        <v>0</v>
      </c>
      <c r="L58" s="185">
        <f t="shared" si="82"/>
        <v>0</v>
      </c>
      <c r="M58" s="124"/>
      <c r="N58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1:55" ht="12.95" customHeight="1">
      <c r="A59" s="4"/>
      <c r="B59" s="4"/>
      <c r="C59" s="35"/>
      <c r="D59" s="4"/>
      <c r="E59" s="4"/>
      <c r="F59" s="4"/>
      <c r="G59"/>
      <c r="H59"/>
      <c r="I59" s="27" t="s">
        <v>75</v>
      </c>
      <c r="J59" s="40" t="s">
        <v>8</v>
      </c>
      <c r="K59" s="186">
        <f>K52-SUM(K53:K58)</f>
        <v>-1.9326762412674725E-12</v>
      </c>
      <c r="L59" s="187">
        <f t="shared" si="82"/>
        <v>-2.4578851367909733E-15</v>
      </c>
      <c r="M59" s="14"/>
      <c r="N59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1:55" ht="12.95" customHeight="1">
      <c r="A60" s="4"/>
      <c r="B60" s="4"/>
      <c r="C60" s="35"/>
      <c r="D60" s="4"/>
      <c r="E60" s="4"/>
      <c r="F60" s="4"/>
      <c r="G60"/>
      <c r="H60" s="4"/>
      <c r="I60" s="115"/>
      <c r="J60" s="92"/>
      <c r="K60" s="188">
        <f>SUM(K53:K59)</f>
        <v>786.31674537516585</v>
      </c>
      <c r="L60" s="189">
        <f>SUM(L53:L59)</f>
        <v>1</v>
      </c>
      <c r="M60" s="190"/>
      <c r="N6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1:55" ht="12.95" customHeight="1">
      <c r="A61" s="4"/>
      <c r="B61" s="4"/>
      <c r="C61" s="35"/>
      <c r="D61" s="4"/>
      <c r="E61" s="4"/>
      <c r="F61" s="4"/>
      <c r="G61"/>
      <c r="H61" s="4"/>
      <c r="I61" s="4"/>
      <c r="J61" s="3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1:55" ht="12.95" customHeight="1">
      <c r="A62" s="4"/>
      <c r="B62" s="4"/>
      <c r="C62" s="35"/>
      <c r="D62" s="4"/>
      <c r="E62" s="4"/>
      <c r="F62" s="4"/>
      <c r="G62" s="4"/>
      <c r="H62" s="4"/>
      <c r="I62" s="4"/>
      <c r="J62" s="35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 spans="1:55" ht="12.95" customHeight="1">
      <c r="A63" s="4"/>
      <c r="B63" s="4"/>
      <c r="C63" s="35"/>
      <c r="D63" s="4"/>
      <c r="E63" s="4"/>
      <c r="F63" s="4"/>
      <c r="G63" s="4"/>
      <c r="H63" s="4"/>
      <c r="I63" s="4"/>
      <c r="J63" s="35"/>
      <c r="K63" s="4"/>
      <c r="L63" s="4"/>
      <c r="M63" s="4"/>
      <c r="N63" s="4"/>
      <c r="O63" s="52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 spans="1:55" ht="12.95" customHeight="1">
      <c r="A64" s="4"/>
      <c r="B64" s="4"/>
      <c r="C64" s="35"/>
      <c r="D64" s="4"/>
      <c r="E64" s="4"/>
      <c r="F64" s="8"/>
      <c r="G64" s="4"/>
      <c r="H64" s="4"/>
      <c r="I64" s="191"/>
      <c r="J64" s="331"/>
      <c r="K64" s="119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</row>
    <row r="65" spans="1:55" ht="12.95" customHeight="1">
      <c r="A65" s="4"/>
      <c r="B65" s="4"/>
      <c r="C65" s="35"/>
      <c r="D65" s="4"/>
      <c r="E65" s="4"/>
      <c r="F65" s="8"/>
      <c r="G65" s="4"/>
      <c r="H65" s="4"/>
      <c r="I65" s="191"/>
      <c r="J65" s="118"/>
      <c r="K65" s="119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</row>
    <row r="66" spans="1:55" ht="12.95" customHeight="1">
      <c r="A66" s="125"/>
      <c r="B66" s="126"/>
      <c r="C66" s="127"/>
      <c r="D66" s="126"/>
      <c r="E66" s="128"/>
      <c r="F66" s="126"/>
      <c r="G66" s="126"/>
      <c r="H66" s="126"/>
      <c r="I66" s="129" t="s">
        <v>126</v>
      </c>
      <c r="J66" s="127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</row>
    <row r="67" spans="1:55" ht="12.95" hidden="1" customHeight="1" outlineLevel="1">
      <c r="A67" s="4"/>
      <c r="B67" s="4"/>
      <c r="C67" s="35"/>
      <c r="D67" s="4"/>
      <c r="E67" s="4"/>
      <c r="F67" s="8"/>
      <c r="G67" s="4"/>
      <c r="H67" s="4"/>
      <c r="I67" s="4"/>
      <c r="J67" s="3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 spans="1:55" ht="12.95" hidden="1" customHeight="1" outlineLevel="1">
      <c r="A68" s="4"/>
      <c r="B68" s="4"/>
      <c r="C68" s="35"/>
      <c r="D68" s="4"/>
      <c r="E68" s="4"/>
      <c r="F68" s="8"/>
      <c r="G68" s="4"/>
      <c r="H68" s="4"/>
      <c r="I68" s="4"/>
      <c r="J68" s="3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69" spans="1:55" ht="12.95" hidden="1" customHeight="1" outlineLevel="1">
      <c r="A69" s="4"/>
      <c r="B69" s="4"/>
      <c r="C69" s="35"/>
      <c r="D69" s="4"/>
      <c r="E69" s="4"/>
      <c r="F69" s="8"/>
      <c r="G69" s="4" t="s">
        <v>141</v>
      </c>
      <c r="H69" s="4"/>
      <c r="I69" s="75" t="s">
        <v>108</v>
      </c>
      <c r="J69" s="84" t="s">
        <v>119</v>
      </c>
      <c r="K69" s="192">
        <v>2027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</row>
    <row r="70" spans="1:55" ht="12.95" hidden="1" customHeight="1" outlineLevel="1">
      <c r="A70" s="4"/>
      <c r="B70" s="4"/>
      <c r="C70" s="35"/>
      <c r="D70" s="4"/>
      <c r="E70" s="4"/>
      <c r="F70" s="8"/>
      <c r="G70" s="4"/>
      <c r="H70" s="4"/>
      <c r="I70" s="4"/>
      <c r="J70" s="3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 spans="1:55" ht="12.95" hidden="1" customHeight="1" outlineLevel="1">
      <c r="A71" s="4"/>
      <c r="B71" s="4"/>
      <c r="C71" s="35"/>
      <c r="D71" s="4"/>
      <c r="E71" s="4"/>
      <c r="F71" s="4"/>
      <c r="G71" s="4"/>
      <c r="H71" s="4"/>
      <c r="I71" s="4" t="s">
        <v>142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 spans="1:55" ht="12.95" hidden="1" customHeight="1" outlineLevel="1">
      <c r="A72" s="4"/>
      <c r="B72" s="4"/>
      <c r="C72" s="3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77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 spans="1:55" ht="12.95" hidden="1" customHeight="1" outlineLevel="1">
      <c r="A73" s="4"/>
      <c r="B73" s="4"/>
      <c r="C73" s="3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 spans="1:55" ht="12.95" hidden="1" customHeight="1" outlineLevel="1">
      <c r="A74" s="4"/>
      <c r="B74" s="4"/>
      <c r="C74" s="3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5" ht="12.2" hidden="1" customHeight="1" outlineLevel="1">
      <c r="A75" s="4"/>
      <c r="B75" s="4"/>
      <c r="C75" s="3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 spans="1:55" ht="12.2" hidden="1" customHeight="1" outlineLevel="1">
      <c r="A76" s="4"/>
      <c r="B76" s="4"/>
      <c r="C76" s="35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 spans="1:55" ht="12.95" customHeight="1" collapsed="1">
      <c r="A77" s="131"/>
      <c r="B77" s="132"/>
      <c r="C77" s="133"/>
      <c r="D77" s="132"/>
      <c r="E77" s="134"/>
      <c r="F77" s="132"/>
      <c r="G77" s="132"/>
      <c r="H77" s="132"/>
      <c r="I77" s="135" t="s">
        <v>129</v>
      </c>
      <c r="J77" s="133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</row>
    <row r="78" spans="1:55" ht="12.95" customHeight="1">
      <c r="A78" s="4"/>
      <c r="B78" s="4"/>
      <c r="C78" s="35"/>
      <c r="D78" s="4"/>
      <c r="E78" s="4"/>
      <c r="F78" s="8"/>
      <c r="G78" s="148"/>
      <c r="H78" s="193"/>
      <c r="I78" s="191"/>
      <c r="J78" s="118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/>
    </row>
    <row r="79" spans="1:55" ht="12.95" customHeight="1">
      <c r="A79" s="4"/>
      <c r="B79" s="4"/>
      <c r="C79" s="35"/>
      <c r="D79" s="4"/>
      <c r="E79" s="9"/>
      <c r="F79" s="166"/>
      <c r="G79" s="4"/>
      <c r="H79" s="4"/>
      <c r="I79" s="4"/>
      <c r="J79" s="3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 spans="1:55" ht="12.95" customHeight="1">
      <c r="A80" s="125"/>
      <c r="B80" s="126"/>
      <c r="C80" s="127"/>
      <c r="D80" s="126"/>
      <c r="E80" s="128"/>
      <c r="F80" s="126"/>
      <c r="G80" s="126"/>
      <c r="H80" s="126"/>
      <c r="I80" s="129" t="s">
        <v>128</v>
      </c>
      <c r="J80" s="127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</row>
    <row r="81" spans="1:55" ht="12.95" customHeight="1" outlineLevel="1">
      <c r="A81" s="4"/>
      <c r="B81" s="4"/>
      <c r="C81" s="35"/>
      <c r="D81" s="4"/>
      <c r="E81" s="8"/>
      <c r="F81" s="4"/>
      <c r="G81" s="4"/>
      <c r="H81" s="4"/>
      <c r="I81" s="58" t="s">
        <v>48</v>
      </c>
      <c r="J81" s="3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 spans="1:55" ht="12.95" customHeight="1" outlineLevel="1">
      <c r="A82" s="4"/>
      <c r="B82" s="4"/>
      <c r="C82" s="35"/>
      <c r="D82" s="4"/>
      <c r="E82" s="194"/>
      <c r="F82" s="8"/>
      <c r="G82" s="4"/>
      <c r="H82" s="4"/>
      <c r="I82" s="122"/>
      <c r="J82" s="123"/>
      <c r="K82" s="87">
        <v>-4</v>
      </c>
      <c r="L82" s="87">
        <v>-3</v>
      </c>
      <c r="M82" s="87">
        <v>-2</v>
      </c>
      <c r="N82" s="87">
        <v>-1</v>
      </c>
      <c r="O82" s="87">
        <v>1</v>
      </c>
      <c r="P82" s="87">
        <v>2</v>
      </c>
      <c r="Q82" s="87">
        <v>3</v>
      </c>
      <c r="R82" s="87">
        <v>4</v>
      </c>
      <c r="S82" s="87">
        <v>5</v>
      </c>
      <c r="T82" s="87">
        <v>6</v>
      </c>
      <c r="U82" s="87">
        <v>7</v>
      </c>
      <c r="V82" s="87">
        <v>8</v>
      </c>
      <c r="W82" s="87">
        <v>9</v>
      </c>
      <c r="X82" s="87">
        <v>10</v>
      </c>
      <c r="Y82" s="87">
        <v>11</v>
      </c>
      <c r="Z82" s="87">
        <v>12</v>
      </c>
      <c r="AA82" s="87">
        <v>13</v>
      </c>
      <c r="AB82" s="87">
        <v>14</v>
      </c>
      <c r="AC82" s="87">
        <v>15</v>
      </c>
      <c r="AD82" s="87">
        <v>16</v>
      </c>
      <c r="AE82" s="87">
        <v>17</v>
      </c>
      <c r="AF82" s="87">
        <v>18</v>
      </c>
      <c r="AG82" s="87">
        <v>19</v>
      </c>
      <c r="AH82" s="87">
        <v>20</v>
      </c>
      <c r="AI82" s="87">
        <v>21</v>
      </c>
      <c r="AJ82" s="87">
        <v>22</v>
      </c>
      <c r="AK82" s="87">
        <v>23</v>
      </c>
      <c r="AL82" s="87">
        <v>24</v>
      </c>
      <c r="AM82" s="87">
        <v>25</v>
      </c>
      <c r="AN82" s="87">
        <v>26</v>
      </c>
      <c r="AO82" s="87">
        <v>27</v>
      </c>
      <c r="AP82" s="87">
        <v>28</v>
      </c>
      <c r="AQ82" s="87">
        <v>29</v>
      </c>
      <c r="AR82" s="87">
        <v>30</v>
      </c>
      <c r="AS82" s="87">
        <v>31</v>
      </c>
      <c r="AT82" s="87">
        <v>32</v>
      </c>
      <c r="AU82" s="87">
        <v>33</v>
      </c>
      <c r="AV82" s="87">
        <v>34</v>
      </c>
      <c r="AW82" s="87">
        <v>35</v>
      </c>
      <c r="AX82" s="87">
        <v>36</v>
      </c>
      <c r="AY82" s="87">
        <v>37</v>
      </c>
      <c r="AZ82" s="87">
        <v>38</v>
      </c>
      <c r="BA82" s="87">
        <v>39</v>
      </c>
      <c r="BB82" s="87">
        <v>40</v>
      </c>
      <c r="BC82" s="87">
        <v>41</v>
      </c>
    </row>
    <row r="83" spans="1:55" ht="12.95" customHeight="1" outlineLevel="1">
      <c r="A83" s="4"/>
      <c r="B83" s="4"/>
      <c r="C83" s="35"/>
      <c r="D83" s="4"/>
      <c r="E83" s="195"/>
      <c r="F83" s="8"/>
      <c r="G83" s="4"/>
      <c r="H83" s="4"/>
      <c r="I83" s="25"/>
      <c r="J83" s="3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 spans="1:55" ht="12.95" customHeight="1" outlineLevel="1">
      <c r="A84" s="4"/>
      <c r="B84" s="4"/>
      <c r="C84" s="35"/>
      <c r="D84" s="4"/>
      <c r="E84" s="195"/>
      <c r="F84" s="8"/>
      <c r="G84" s="4"/>
      <c r="H84" s="4"/>
      <c r="I84" s="25" t="s">
        <v>30</v>
      </c>
      <c r="J84" s="37" t="s">
        <v>69</v>
      </c>
      <c r="K84" s="52">
        <f>K18</f>
        <v>0</v>
      </c>
      <c r="L84" s="52">
        <f>L18</f>
        <v>0</v>
      </c>
      <c r="M84" s="52">
        <f>M18</f>
        <v>28000000</v>
      </c>
      <c r="N84" s="52">
        <f>N18</f>
        <v>28000000</v>
      </c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</row>
    <row r="85" spans="1:55" ht="12.95" customHeight="1" outlineLevel="1">
      <c r="A85" s="4"/>
      <c r="B85" s="4"/>
      <c r="C85" s="35"/>
      <c r="D85" s="4"/>
      <c r="E85" s="9"/>
      <c r="F85" s="8"/>
      <c r="G85" s="4"/>
      <c r="H85" s="4"/>
      <c r="I85" s="25" t="s">
        <v>49</v>
      </c>
      <c r="J85" s="52">
        <f>NPV(WACC, Capex2Yr)</f>
        <v>42777777.777777784</v>
      </c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</row>
    <row r="86" spans="1:55" ht="12.95" customHeight="1" outlineLevel="1">
      <c r="A86" s="4"/>
      <c r="B86" s="4"/>
      <c r="C86" s="35"/>
      <c r="D86" s="4"/>
      <c r="E86" s="195"/>
      <c r="F86" s="8"/>
      <c r="G86" s="4"/>
      <c r="H86" s="4"/>
      <c r="I86" s="25" t="s">
        <v>51</v>
      </c>
      <c r="J86" s="196">
        <v>126499.62290691445</v>
      </c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</row>
    <row r="87" spans="1:55" ht="12.95" customHeight="1" outlineLevel="1">
      <c r="A87" s="4"/>
      <c r="B87" s="4"/>
      <c r="C87" s="35"/>
      <c r="D87" s="4"/>
      <c r="E87" s="8"/>
      <c r="F87" s="8"/>
      <c r="G87" s="4"/>
      <c r="H87" s="4"/>
      <c r="I87" s="25" t="s">
        <v>50</v>
      </c>
      <c r="J87" s="37"/>
      <c r="K87" s="52">
        <v>0</v>
      </c>
      <c r="L87" s="52">
        <v>0</v>
      </c>
      <c r="M87" s="52">
        <v>0</v>
      </c>
      <c r="N87" s="52">
        <v>0</v>
      </c>
      <c r="O87" s="52">
        <f>$J$86 * O147</f>
        <v>126499.62290691445</v>
      </c>
      <c r="P87" s="52">
        <f>$J$86 * P147</f>
        <v>126499.62290691445</v>
      </c>
      <c r="Q87" s="52">
        <f t="shared" ref="Q87:AQ87" si="83">$J$86 * Q147</f>
        <v>126499.62290691445</v>
      </c>
      <c r="R87" s="52">
        <f t="shared" si="83"/>
        <v>126499.62290691445</v>
      </c>
      <c r="S87" s="52">
        <f t="shared" si="83"/>
        <v>126499.62290691445</v>
      </c>
      <c r="T87" s="52">
        <f t="shared" si="83"/>
        <v>126499.62290691445</v>
      </c>
      <c r="U87" s="52">
        <f t="shared" si="83"/>
        <v>126499.62290691445</v>
      </c>
      <c r="V87" s="52">
        <f t="shared" si="83"/>
        <v>126499.62290691445</v>
      </c>
      <c r="W87" s="52">
        <f t="shared" si="83"/>
        <v>126499.62290691445</v>
      </c>
      <c r="X87" s="52">
        <f t="shared" si="83"/>
        <v>126499.62290691445</v>
      </c>
      <c r="Y87" s="52">
        <f t="shared" si="83"/>
        <v>126499.62290691445</v>
      </c>
      <c r="Z87" s="52">
        <f t="shared" si="83"/>
        <v>126499.62290691445</v>
      </c>
      <c r="AA87" s="52">
        <f t="shared" si="83"/>
        <v>126499.62290691445</v>
      </c>
      <c r="AB87" s="52">
        <f t="shared" si="83"/>
        <v>126499.62290691445</v>
      </c>
      <c r="AC87" s="52">
        <f t="shared" si="83"/>
        <v>126499.62290691445</v>
      </c>
      <c r="AD87" s="52">
        <f t="shared" si="83"/>
        <v>126499.62290691445</v>
      </c>
      <c r="AE87" s="52">
        <f t="shared" si="83"/>
        <v>126499.62290691445</v>
      </c>
      <c r="AF87" s="52">
        <f t="shared" si="83"/>
        <v>126499.62290691445</v>
      </c>
      <c r="AG87" s="52">
        <f t="shared" si="83"/>
        <v>126499.62290691445</v>
      </c>
      <c r="AH87" s="52">
        <f t="shared" si="83"/>
        <v>126499.62290691445</v>
      </c>
      <c r="AI87" s="52">
        <f t="shared" si="83"/>
        <v>0</v>
      </c>
      <c r="AJ87" s="52">
        <f t="shared" si="83"/>
        <v>0</v>
      </c>
      <c r="AK87" s="52">
        <f t="shared" si="83"/>
        <v>0</v>
      </c>
      <c r="AL87" s="52">
        <f t="shared" si="83"/>
        <v>0</v>
      </c>
      <c r="AM87" s="52">
        <f t="shared" si="83"/>
        <v>0</v>
      </c>
      <c r="AN87" s="52">
        <f t="shared" si="83"/>
        <v>0</v>
      </c>
      <c r="AO87" s="52">
        <f t="shared" si="83"/>
        <v>0</v>
      </c>
      <c r="AP87" s="52">
        <f t="shared" si="83"/>
        <v>0</v>
      </c>
      <c r="AQ87" s="52">
        <f t="shared" si="83"/>
        <v>0</v>
      </c>
      <c r="AR87" s="52">
        <f t="shared" ref="AR87:BC87" si="84">$J$86 * AR147</f>
        <v>0</v>
      </c>
      <c r="AS87" s="52">
        <f t="shared" si="84"/>
        <v>0</v>
      </c>
      <c r="AT87" s="52">
        <f t="shared" si="84"/>
        <v>0</v>
      </c>
      <c r="AU87" s="52">
        <f t="shared" si="84"/>
        <v>0</v>
      </c>
      <c r="AV87" s="52">
        <f t="shared" si="84"/>
        <v>0</v>
      </c>
      <c r="AW87" s="52">
        <f t="shared" si="84"/>
        <v>0</v>
      </c>
      <c r="AX87" s="52">
        <f t="shared" si="84"/>
        <v>0</v>
      </c>
      <c r="AY87" s="52">
        <f t="shared" si="84"/>
        <v>0</v>
      </c>
      <c r="AZ87" s="52">
        <f t="shared" si="84"/>
        <v>0</v>
      </c>
      <c r="BA87" s="52">
        <f t="shared" si="84"/>
        <v>0</v>
      </c>
      <c r="BB87" s="52">
        <f t="shared" si="84"/>
        <v>0</v>
      </c>
      <c r="BC87" s="52">
        <f t="shared" si="84"/>
        <v>0</v>
      </c>
    </row>
    <row r="88" spans="1:55" ht="12.95" customHeight="1" outlineLevel="1">
      <c r="A88" s="4"/>
      <c r="B88" s="4"/>
      <c r="C88" s="35"/>
      <c r="D88" s="4"/>
      <c r="E88" s="194"/>
      <c r="F88" s="8"/>
      <c r="G88" s="4"/>
      <c r="H88" s="4"/>
      <c r="I88" s="25" t="s">
        <v>52</v>
      </c>
      <c r="J88" s="52">
        <f>NPV(WACC, EqCapex2Yr)</f>
        <v>427777.77777777828</v>
      </c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</row>
    <row r="89" spans="1:55" ht="12.95" customHeight="1" outlineLevel="1">
      <c r="A89" s="4"/>
      <c r="B89" s="4"/>
      <c r="C89" s="35"/>
      <c r="D89" s="4"/>
      <c r="E89" s="9"/>
      <c r="F89" s="8"/>
      <c r="G89" s="4"/>
      <c r="H89" s="4"/>
      <c r="I89" s="27"/>
      <c r="J89" s="197">
        <f>+CapexNPV-EqCapexNPV</f>
        <v>42350000.000000007</v>
      </c>
      <c r="K89" s="76"/>
      <c r="L89" s="76"/>
      <c r="M89" s="76"/>
      <c r="N89" s="332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</row>
    <row r="90" spans="1:55" ht="12.95" customHeight="1" outlineLevel="1">
      <c r="A90" s="4"/>
      <c r="B90" s="4"/>
      <c r="C90" s="35"/>
      <c r="D90" s="4"/>
      <c r="E90" s="198"/>
      <c r="F90" s="8"/>
      <c r="G90" s="4"/>
      <c r="H90" s="4"/>
      <c r="I90" s="4"/>
      <c r="J90" s="3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 spans="1:55" ht="12.95" customHeight="1" outlineLevel="1">
      <c r="A91" s="4"/>
      <c r="B91" s="4"/>
      <c r="C91" s="35"/>
      <c r="D91" s="4"/>
      <c r="E91" s="198"/>
      <c r="F91" s="8"/>
      <c r="G91" s="4"/>
      <c r="H91" s="4"/>
      <c r="I91" s="58" t="s">
        <v>53</v>
      </c>
      <c r="J91" s="3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 spans="1:55" ht="12.95" customHeight="1" outlineLevel="1">
      <c r="A92" s="4"/>
      <c r="B92" s="4"/>
      <c r="C92" s="35"/>
      <c r="D92" s="4"/>
      <c r="E92" s="198"/>
      <c r="F92" s="8"/>
      <c r="G92" s="4"/>
      <c r="H92" s="4"/>
      <c r="I92" s="122"/>
      <c r="J92" s="123"/>
      <c r="K92" s="87">
        <v>-4</v>
      </c>
      <c r="L92" s="87">
        <v>-3</v>
      </c>
      <c r="M92" s="87">
        <v>-2</v>
      </c>
      <c r="N92" s="87">
        <v>-1</v>
      </c>
      <c r="O92" s="87">
        <v>1</v>
      </c>
      <c r="P92" s="87">
        <v>2</v>
      </c>
      <c r="Q92" s="87">
        <v>3</v>
      </c>
      <c r="R92" s="87">
        <v>4</v>
      </c>
      <c r="S92" s="87">
        <v>5</v>
      </c>
      <c r="T92" s="87">
        <v>6</v>
      </c>
      <c r="U92" s="87">
        <v>7</v>
      </c>
      <c r="V92" s="87">
        <v>8</v>
      </c>
      <c r="W92" s="87">
        <v>9</v>
      </c>
      <c r="X92" s="87">
        <v>10</v>
      </c>
      <c r="Y92" s="87">
        <v>11</v>
      </c>
      <c r="Z92" s="87">
        <v>12</v>
      </c>
      <c r="AA92" s="87">
        <v>13</v>
      </c>
      <c r="AB92" s="87">
        <v>14</v>
      </c>
      <c r="AC92" s="87">
        <v>15</v>
      </c>
      <c r="AD92" s="87">
        <v>16</v>
      </c>
      <c r="AE92" s="87">
        <v>17</v>
      </c>
      <c r="AF92" s="87">
        <v>18</v>
      </c>
      <c r="AG92" s="87">
        <v>19</v>
      </c>
      <c r="AH92" s="87">
        <v>20</v>
      </c>
      <c r="AI92" s="87">
        <v>21</v>
      </c>
      <c r="AJ92" s="87">
        <v>22</v>
      </c>
      <c r="AK92" s="87">
        <v>23</v>
      </c>
      <c r="AL92" s="87">
        <v>24</v>
      </c>
      <c r="AM92" s="87">
        <v>25</v>
      </c>
      <c r="AN92" s="87">
        <v>26</v>
      </c>
      <c r="AO92" s="87">
        <v>27</v>
      </c>
      <c r="AP92" s="87">
        <v>28</v>
      </c>
      <c r="AQ92" s="87">
        <v>29</v>
      </c>
      <c r="AR92" s="87">
        <v>30</v>
      </c>
      <c r="AS92" s="87">
        <v>31</v>
      </c>
      <c r="AT92" s="87">
        <v>32</v>
      </c>
      <c r="AU92" s="87">
        <v>33</v>
      </c>
      <c r="AV92" s="87">
        <v>34</v>
      </c>
      <c r="AW92" s="87">
        <v>35</v>
      </c>
      <c r="AX92" s="87">
        <v>36</v>
      </c>
      <c r="AY92" s="87">
        <v>37</v>
      </c>
      <c r="AZ92" s="87">
        <v>38</v>
      </c>
      <c r="BA92" s="87">
        <v>39</v>
      </c>
      <c r="BB92" s="87">
        <v>40</v>
      </c>
      <c r="BC92" s="87">
        <v>41</v>
      </c>
    </row>
    <row r="93" spans="1:55" ht="12.95" customHeight="1" outlineLevel="1">
      <c r="A93" s="4"/>
      <c r="B93" s="4"/>
      <c r="C93" s="35"/>
      <c r="D93" s="4"/>
      <c r="E93" s="199"/>
      <c r="F93" s="8"/>
      <c r="G93" s="4"/>
      <c r="H93" s="4"/>
      <c r="I93" s="25"/>
      <c r="J93" s="35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 spans="1:55" ht="12.95" customHeight="1" outlineLevel="1">
      <c r="A94" s="4"/>
      <c r="B94" s="4"/>
      <c r="C94" s="35"/>
      <c r="D94" s="4"/>
      <c r="E94" s="199"/>
      <c r="F94" s="8"/>
      <c r="G94" s="4"/>
      <c r="H94" s="4"/>
      <c r="I94" s="25" t="s">
        <v>62</v>
      </c>
      <c r="J94" s="37"/>
      <c r="K94" s="52"/>
      <c r="L94" s="52"/>
      <c r="M94" s="52"/>
      <c r="N94" s="52"/>
      <c r="O94" s="200">
        <f t="shared" ref="O94:AQ94" si="85">IF(O46&lt;0,O46,0)</f>
        <v>0</v>
      </c>
      <c r="P94" s="200">
        <f t="shared" si="85"/>
        <v>0</v>
      </c>
      <c r="Q94" s="200">
        <f t="shared" si="85"/>
        <v>0</v>
      </c>
      <c r="R94" s="200">
        <f t="shared" si="85"/>
        <v>0</v>
      </c>
      <c r="S94" s="200">
        <f t="shared" si="85"/>
        <v>0</v>
      </c>
      <c r="T94" s="200">
        <f t="shared" si="85"/>
        <v>0</v>
      </c>
      <c r="U94" s="200">
        <f t="shared" si="85"/>
        <v>0</v>
      </c>
      <c r="V94" s="200">
        <f t="shared" si="85"/>
        <v>0</v>
      </c>
      <c r="W94" s="200">
        <f t="shared" si="85"/>
        <v>0</v>
      </c>
      <c r="X94" s="200">
        <f t="shared" si="85"/>
        <v>0</v>
      </c>
      <c r="Y94" s="200">
        <f t="shared" si="85"/>
        <v>0</v>
      </c>
      <c r="Z94" s="200">
        <f t="shared" si="85"/>
        <v>0</v>
      </c>
      <c r="AA94" s="200">
        <f t="shared" si="85"/>
        <v>0</v>
      </c>
      <c r="AB94" s="200">
        <f t="shared" si="85"/>
        <v>0</v>
      </c>
      <c r="AC94" s="200">
        <f t="shared" si="85"/>
        <v>0</v>
      </c>
      <c r="AD94" s="200">
        <f t="shared" si="85"/>
        <v>0</v>
      </c>
      <c r="AE94" s="200">
        <f t="shared" si="85"/>
        <v>0</v>
      </c>
      <c r="AF94" s="200">
        <f t="shared" si="85"/>
        <v>0</v>
      </c>
      <c r="AG94" s="200">
        <f t="shared" si="85"/>
        <v>0</v>
      </c>
      <c r="AH94" s="200">
        <f t="shared" si="85"/>
        <v>0</v>
      </c>
      <c r="AI94" s="200">
        <f t="shared" si="85"/>
        <v>0</v>
      </c>
      <c r="AJ94" s="200">
        <f t="shared" si="85"/>
        <v>0</v>
      </c>
      <c r="AK94" s="200">
        <f t="shared" si="85"/>
        <v>0</v>
      </c>
      <c r="AL94" s="200">
        <f t="shared" si="85"/>
        <v>0</v>
      </c>
      <c r="AM94" s="200">
        <f t="shared" si="85"/>
        <v>0</v>
      </c>
      <c r="AN94" s="200">
        <f t="shared" si="85"/>
        <v>0</v>
      </c>
      <c r="AO94" s="200">
        <f t="shared" si="85"/>
        <v>0</v>
      </c>
      <c r="AP94" s="200">
        <f t="shared" si="85"/>
        <v>0</v>
      </c>
      <c r="AQ94" s="200">
        <f t="shared" si="85"/>
        <v>0</v>
      </c>
      <c r="AR94" s="200">
        <f t="shared" ref="AR94:BC94" si="86">IF(AR46&lt;0,AR46,0)</f>
        <v>0</v>
      </c>
      <c r="AS94" s="200">
        <f t="shared" si="86"/>
        <v>0</v>
      </c>
      <c r="AT94" s="200">
        <f t="shared" si="86"/>
        <v>0</v>
      </c>
      <c r="AU94" s="200">
        <f t="shared" si="86"/>
        <v>0</v>
      </c>
      <c r="AV94" s="200">
        <f t="shared" si="86"/>
        <v>0</v>
      </c>
      <c r="AW94" s="200">
        <f t="shared" si="86"/>
        <v>0</v>
      </c>
      <c r="AX94" s="200">
        <f t="shared" si="86"/>
        <v>0</v>
      </c>
      <c r="AY94" s="200">
        <f t="shared" si="86"/>
        <v>0</v>
      </c>
      <c r="AZ94" s="200">
        <f t="shared" si="86"/>
        <v>0</v>
      </c>
      <c r="BA94" s="200">
        <f t="shared" si="86"/>
        <v>0</v>
      </c>
      <c r="BB94" s="200">
        <f t="shared" si="86"/>
        <v>0</v>
      </c>
      <c r="BC94" s="200">
        <f t="shared" si="86"/>
        <v>0</v>
      </c>
    </row>
    <row r="95" spans="1:55" ht="12.95" customHeight="1" outlineLevel="1">
      <c r="A95" s="4"/>
      <c r="B95" s="4"/>
      <c r="C95" s="35"/>
      <c r="D95" s="4"/>
      <c r="E95" s="8"/>
      <c r="F95" s="8"/>
      <c r="G95" s="4"/>
      <c r="H95" s="4"/>
      <c r="I95" s="25" t="s">
        <v>63</v>
      </c>
      <c r="J95" s="37"/>
      <c r="K95" s="52"/>
      <c r="L95" s="52"/>
      <c r="M95" s="52"/>
      <c r="N95" s="52"/>
      <c r="O95" s="200">
        <f t="shared" ref="O95:AQ95" si="87">IF(O46&gt;0,O46,0)</f>
        <v>14485238.662781477</v>
      </c>
      <c r="P95" s="200">
        <f t="shared" si="87"/>
        <v>14485238.662781477</v>
      </c>
      <c r="Q95" s="200">
        <f t="shared" si="87"/>
        <v>14485238.662781477</v>
      </c>
      <c r="R95" s="200">
        <f t="shared" si="87"/>
        <v>14485238.662781477</v>
      </c>
      <c r="S95" s="200">
        <f t="shared" si="87"/>
        <v>14485238.662781477</v>
      </c>
      <c r="T95" s="200">
        <f t="shared" si="87"/>
        <v>14485238.662781477</v>
      </c>
      <c r="U95" s="200">
        <f t="shared" si="87"/>
        <v>14485238.662781477</v>
      </c>
      <c r="V95" s="200">
        <f t="shared" si="87"/>
        <v>14485238.662781477</v>
      </c>
      <c r="W95" s="200">
        <f t="shared" si="87"/>
        <v>14485238.662781477</v>
      </c>
      <c r="X95" s="200">
        <f t="shared" si="87"/>
        <v>14485238.662781477</v>
      </c>
      <c r="Y95" s="200">
        <f t="shared" si="87"/>
        <v>14485238.662781477</v>
      </c>
      <c r="Z95" s="200">
        <f t="shared" si="87"/>
        <v>14485238.662781477</v>
      </c>
      <c r="AA95" s="200">
        <f t="shared" si="87"/>
        <v>14485238.662781477</v>
      </c>
      <c r="AB95" s="200">
        <f t="shared" si="87"/>
        <v>14485238.662781477</v>
      </c>
      <c r="AC95" s="200">
        <f t="shared" si="87"/>
        <v>14485238.662781477</v>
      </c>
      <c r="AD95" s="200">
        <f t="shared" si="87"/>
        <v>14485238.662781477</v>
      </c>
      <c r="AE95" s="200">
        <f t="shared" si="87"/>
        <v>14485238.662781477</v>
      </c>
      <c r="AF95" s="200">
        <f t="shared" si="87"/>
        <v>14485238.662781477</v>
      </c>
      <c r="AG95" s="200">
        <f t="shared" si="87"/>
        <v>14485238.662781477</v>
      </c>
      <c r="AH95" s="200">
        <f t="shared" si="87"/>
        <v>14485238.662781477</v>
      </c>
      <c r="AI95" s="200">
        <f t="shared" si="87"/>
        <v>0</v>
      </c>
      <c r="AJ95" s="200">
        <f t="shared" si="87"/>
        <v>0</v>
      </c>
      <c r="AK95" s="200">
        <f t="shared" si="87"/>
        <v>0</v>
      </c>
      <c r="AL95" s="200">
        <f t="shared" si="87"/>
        <v>0</v>
      </c>
      <c r="AM95" s="200">
        <f t="shared" si="87"/>
        <v>0</v>
      </c>
      <c r="AN95" s="200">
        <f t="shared" si="87"/>
        <v>0</v>
      </c>
      <c r="AO95" s="200">
        <f t="shared" si="87"/>
        <v>0</v>
      </c>
      <c r="AP95" s="200">
        <f t="shared" si="87"/>
        <v>0</v>
      </c>
      <c r="AQ95" s="200">
        <f t="shared" si="87"/>
        <v>0</v>
      </c>
      <c r="AR95" s="200">
        <f t="shared" ref="AR95:BC95" si="88">IF(AR46&gt;0,AR46,0)</f>
        <v>0</v>
      </c>
      <c r="AS95" s="200">
        <f t="shared" si="88"/>
        <v>0</v>
      </c>
      <c r="AT95" s="200">
        <f t="shared" si="88"/>
        <v>0</v>
      </c>
      <c r="AU95" s="200">
        <f t="shared" si="88"/>
        <v>0</v>
      </c>
      <c r="AV95" s="200">
        <f t="shared" si="88"/>
        <v>0</v>
      </c>
      <c r="AW95" s="200">
        <f t="shared" si="88"/>
        <v>0</v>
      </c>
      <c r="AX95" s="200">
        <f t="shared" si="88"/>
        <v>0</v>
      </c>
      <c r="AY95" s="200">
        <f t="shared" si="88"/>
        <v>0</v>
      </c>
      <c r="AZ95" s="200">
        <f t="shared" si="88"/>
        <v>0</v>
      </c>
      <c r="BA95" s="200">
        <f t="shared" si="88"/>
        <v>0</v>
      </c>
      <c r="BB95" s="200">
        <f t="shared" si="88"/>
        <v>0</v>
      </c>
      <c r="BC95" s="200">
        <f t="shared" si="88"/>
        <v>0</v>
      </c>
    </row>
    <row r="96" spans="1:55" ht="12.95" customHeight="1" outlineLevel="1">
      <c r="A96" s="4"/>
      <c r="B96" s="4"/>
      <c r="C96" s="35"/>
      <c r="D96" s="4"/>
      <c r="E96" s="8"/>
      <c r="F96" s="8"/>
      <c r="G96" s="4"/>
      <c r="H96" s="4"/>
      <c r="I96" s="25" t="s">
        <v>47</v>
      </c>
      <c r="J96" s="37"/>
      <c r="K96" s="52"/>
      <c r="L96" s="52"/>
      <c r="M96" s="52"/>
      <c r="N96" s="52"/>
      <c r="O96" s="200">
        <f t="shared" ref="O96:AQ96" si="89">O94+O95+IF(N96&lt;0,N96,0)</f>
        <v>14485238.662781477</v>
      </c>
      <c r="P96" s="200">
        <f t="shared" si="89"/>
        <v>14485238.662781477</v>
      </c>
      <c r="Q96" s="200">
        <f t="shared" si="89"/>
        <v>14485238.662781477</v>
      </c>
      <c r="R96" s="200">
        <f t="shared" si="89"/>
        <v>14485238.662781477</v>
      </c>
      <c r="S96" s="200">
        <f t="shared" si="89"/>
        <v>14485238.662781477</v>
      </c>
      <c r="T96" s="200">
        <f t="shared" si="89"/>
        <v>14485238.662781477</v>
      </c>
      <c r="U96" s="200">
        <f t="shared" si="89"/>
        <v>14485238.662781477</v>
      </c>
      <c r="V96" s="200">
        <f t="shared" si="89"/>
        <v>14485238.662781477</v>
      </c>
      <c r="W96" s="200">
        <f t="shared" si="89"/>
        <v>14485238.662781477</v>
      </c>
      <c r="X96" s="200">
        <f t="shared" si="89"/>
        <v>14485238.662781477</v>
      </c>
      <c r="Y96" s="200">
        <f t="shared" si="89"/>
        <v>14485238.662781477</v>
      </c>
      <c r="Z96" s="200">
        <f t="shared" si="89"/>
        <v>14485238.662781477</v>
      </c>
      <c r="AA96" s="200">
        <f t="shared" si="89"/>
        <v>14485238.662781477</v>
      </c>
      <c r="AB96" s="200">
        <f t="shared" si="89"/>
        <v>14485238.662781477</v>
      </c>
      <c r="AC96" s="200">
        <f t="shared" si="89"/>
        <v>14485238.662781477</v>
      </c>
      <c r="AD96" s="200">
        <f t="shared" si="89"/>
        <v>14485238.662781477</v>
      </c>
      <c r="AE96" s="200">
        <f t="shared" si="89"/>
        <v>14485238.662781477</v>
      </c>
      <c r="AF96" s="200">
        <f t="shared" si="89"/>
        <v>14485238.662781477</v>
      </c>
      <c r="AG96" s="200">
        <f t="shared" si="89"/>
        <v>14485238.662781477</v>
      </c>
      <c r="AH96" s="200">
        <f t="shared" si="89"/>
        <v>14485238.662781477</v>
      </c>
      <c r="AI96" s="200">
        <f>AI94+AI95+IF(AH96&lt;0,AH96,0)</f>
        <v>0</v>
      </c>
      <c r="AJ96" s="200">
        <f t="shared" si="89"/>
        <v>0</v>
      </c>
      <c r="AK96" s="200">
        <f t="shared" si="89"/>
        <v>0</v>
      </c>
      <c r="AL96" s="200">
        <f t="shared" si="89"/>
        <v>0</v>
      </c>
      <c r="AM96" s="200">
        <f t="shared" si="89"/>
        <v>0</v>
      </c>
      <c r="AN96" s="200">
        <f t="shared" si="89"/>
        <v>0</v>
      </c>
      <c r="AO96" s="200">
        <f t="shared" si="89"/>
        <v>0</v>
      </c>
      <c r="AP96" s="200">
        <f t="shared" si="89"/>
        <v>0</v>
      </c>
      <c r="AQ96" s="200">
        <f t="shared" si="89"/>
        <v>0</v>
      </c>
      <c r="AR96" s="200">
        <f t="shared" ref="AR96" si="90">AR94+AR95+IF(AQ96&lt;0,AQ96,0)</f>
        <v>0</v>
      </c>
      <c r="AS96" s="200">
        <f t="shared" ref="AS96" si="91">AS94+AS95+IF(AR96&lt;0,AR96,0)</f>
        <v>0</v>
      </c>
      <c r="AT96" s="200">
        <f t="shared" ref="AT96" si="92">AT94+AT95+IF(AS96&lt;0,AS96,0)</f>
        <v>0</v>
      </c>
      <c r="AU96" s="200">
        <f t="shared" ref="AU96" si="93">AU94+AU95+IF(AT96&lt;0,AT96,0)</f>
        <v>0</v>
      </c>
      <c r="AV96" s="200">
        <f t="shared" ref="AV96" si="94">AV94+AV95+IF(AU96&lt;0,AU96,0)</f>
        <v>0</v>
      </c>
      <c r="AW96" s="200">
        <f t="shared" ref="AW96" si="95">AW94+AW95+IF(AV96&lt;0,AV96,0)</f>
        <v>0</v>
      </c>
      <c r="AX96" s="200">
        <f t="shared" ref="AX96" si="96">AX94+AX95+IF(AW96&lt;0,AW96,0)</f>
        <v>0</v>
      </c>
      <c r="AY96" s="200">
        <f t="shared" ref="AY96" si="97">AY94+AY95+IF(AX96&lt;0,AX96,0)</f>
        <v>0</v>
      </c>
      <c r="AZ96" s="200">
        <f t="shared" ref="AZ96" si="98">AZ94+AZ95+IF(AY96&lt;0,AY96,0)</f>
        <v>0</v>
      </c>
      <c r="BA96" s="200">
        <f t="shared" ref="BA96" si="99">BA94+BA95+IF(AZ96&lt;0,AZ96,0)</f>
        <v>0</v>
      </c>
      <c r="BB96" s="200">
        <f t="shared" ref="BB96" si="100">BB94+BB95+IF(BA96&lt;0,BA96,0)</f>
        <v>0</v>
      </c>
      <c r="BC96" s="200">
        <f t="shared" ref="BC96" si="101">BC94+BC95+IF(BB96&lt;0,BB96,0)</f>
        <v>0</v>
      </c>
    </row>
    <row r="97" spans="1:55" ht="12.95" customHeight="1" outlineLevel="1">
      <c r="A97" s="4"/>
      <c r="B97" s="4"/>
      <c r="C97" s="35"/>
      <c r="D97" s="4"/>
      <c r="E97" s="8"/>
      <c r="F97" s="4"/>
      <c r="G97" s="4"/>
      <c r="H97" s="4"/>
      <c r="I97" s="25" t="s">
        <v>64</v>
      </c>
      <c r="J97" s="37"/>
      <c r="K97" s="52">
        <v>0</v>
      </c>
      <c r="L97" s="52">
        <v>0</v>
      </c>
      <c r="M97" s="52">
        <v>0</v>
      </c>
      <c r="N97" s="52">
        <v>0</v>
      </c>
      <c r="O97" s="200">
        <f>IF(O96&gt;0,O96*$D$31,0)</f>
        <v>4635276.3720900724</v>
      </c>
      <c r="P97" s="200">
        <f t="shared" ref="P97:AQ97" si="102">IF(P96&gt;0,P96*$D$31,0)</f>
        <v>4635276.3720900724</v>
      </c>
      <c r="Q97" s="200">
        <f t="shared" si="102"/>
        <v>4635276.3720900724</v>
      </c>
      <c r="R97" s="200">
        <f t="shared" si="102"/>
        <v>4635276.3720900724</v>
      </c>
      <c r="S97" s="200">
        <f t="shared" si="102"/>
        <v>4635276.3720900724</v>
      </c>
      <c r="T97" s="200">
        <f t="shared" si="102"/>
        <v>4635276.3720900724</v>
      </c>
      <c r="U97" s="200">
        <f t="shared" si="102"/>
        <v>4635276.3720900724</v>
      </c>
      <c r="V97" s="200">
        <f t="shared" si="102"/>
        <v>4635276.3720900724</v>
      </c>
      <c r="W97" s="200">
        <f t="shared" si="102"/>
        <v>4635276.3720900724</v>
      </c>
      <c r="X97" s="200">
        <f t="shared" si="102"/>
        <v>4635276.3720900724</v>
      </c>
      <c r="Y97" s="200">
        <f t="shared" si="102"/>
        <v>4635276.3720900724</v>
      </c>
      <c r="Z97" s="200">
        <f t="shared" si="102"/>
        <v>4635276.3720900724</v>
      </c>
      <c r="AA97" s="200">
        <f t="shared" si="102"/>
        <v>4635276.3720900724</v>
      </c>
      <c r="AB97" s="200">
        <f t="shared" si="102"/>
        <v>4635276.3720900724</v>
      </c>
      <c r="AC97" s="200">
        <f t="shared" si="102"/>
        <v>4635276.3720900724</v>
      </c>
      <c r="AD97" s="200">
        <f t="shared" si="102"/>
        <v>4635276.3720900724</v>
      </c>
      <c r="AE97" s="200">
        <f t="shared" si="102"/>
        <v>4635276.3720900724</v>
      </c>
      <c r="AF97" s="200">
        <f t="shared" si="102"/>
        <v>4635276.3720900724</v>
      </c>
      <c r="AG97" s="200">
        <f t="shared" si="102"/>
        <v>4635276.3720900724</v>
      </c>
      <c r="AH97" s="200">
        <f t="shared" si="102"/>
        <v>4635276.3720900724</v>
      </c>
      <c r="AI97" s="200">
        <f t="shared" si="102"/>
        <v>0</v>
      </c>
      <c r="AJ97" s="200">
        <f t="shared" si="102"/>
        <v>0</v>
      </c>
      <c r="AK97" s="200">
        <f t="shared" si="102"/>
        <v>0</v>
      </c>
      <c r="AL97" s="200">
        <f t="shared" si="102"/>
        <v>0</v>
      </c>
      <c r="AM97" s="200">
        <f t="shared" si="102"/>
        <v>0</v>
      </c>
      <c r="AN97" s="200">
        <f t="shared" si="102"/>
        <v>0</v>
      </c>
      <c r="AO97" s="200">
        <f t="shared" si="102"/>
        <v>0</v>
      </c>
      <c r="AP97" s="200">
        <f t="shared" si="102"/>
        <v>0</v>
      </c>
      <c r="AQ97" s="200">
        <f t="shared" si="102"/>
        <v>0</v>
      </c>
      <c r="AR97" s="200">
        <f t="shared" ref="AR97:BC97" si="103">IF(AR96&gt;0,AR96*$D$31,0)</f>
        <v>0</v>
      </c>
      <c r="AS97" s="200">
        <f t="shared" si="103"/>
        <v>0</v>
      </c>
      <c r="AT97" s="200">
        <f t="shared" si="103"/>
        <v>0</v>
      </c>
      <c r="AU97" s="200">
        <f t="shared" si="103"/>
        <v>0</v>
      </c>
      <c r="AV97" s="200">
        <f t="shared" si="103"/>
        <v>0</v>
      </c>
      <c r="AW97" s="200">
        <f t="shared" si="103"/>
        <v>0</v>
      </c>
      <c r="AX97" s="200">
        <f t="shared" si="103"/>
        <v>0</v>
      </c>
      <c r="AY97" s="200">
        <f t="shared" si="103"/>
        <v>0</v>
      </c>
      <c r="AZ97" s="200">
        <f t="shared" si="103"/>
        <v>0</v>
      </c>
      <c r="BA97" s="200">
        <f t="shared" si="103"/>
        <v>0</v>
      </c>
      <c r="BB97" s="200">
        <f t="shared" si="103"/>
        <v>0</v>
      </c>
      <c r="BC97" s="200">
        <f t="shared" si="103"/>
        <v>0</v>
      </c>
    </row>
    <row r="98" spans="1:55" ht="12.95" customHeight="1" outlineLevel="1">
      <c r="A98" s="4"/>
      <c r="B98" s="4"/>
      <c r="C98" s="35"/>
      <c r="D98" s="4"/>
      <c r="E98" s="8"/>
      <c r="F98" s="4"/>
      <c r="G98" s="4"/>
      <c r="H98" s="4"/>
      <c r="I98" s="25" t="s">
        <v>54</v>
      </c>
      <c r="J98" s="52">
        <f>NPV(WACC,TaxNPV2Yr)</f>
        <v>15674894.361524213</v>
      </c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</row>
    <row r="99" spans="1:55" ht="12.95" customHeight="1" outlineLevel="1">
      <c r="A99" s="4"/>
      <c r="B99" s="4"/>
      <c r="C99" s="35"/>
      <c r="D99" s="4"/>
      <c r="E99" s="8"/>
      <c r="F99" s="4"/>
      <c r="G99" s="4"/>
      <c r="H99" s="4"/>
      <c r="I99" s="25" t="s">
        <v>77</v>
      </c>
      <c r="J99" s="196">
        <v>46352.763720900286</v>
      </c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</row>
    <row r="100" spans="1:55" ht="12.95" customHeight="1" outlineLevel="1">
      <c r="A100" s="4"/>
      <c r="B100" s="4"/>
      <c r="C100" s="35"/>
      <c r="D100" s="4"/>
      <c r="E100" s="8"/>
      <c r="F100" s="4"/>
      <c r="G100" s="4"/>
      <c r="H100" s="4"/>
      <c r="I100" s="25" t="s">
        <v>55</v>
      </c>
      <c r="J100" s="37"/>
      <c r="K100" s="52">
        <v>0</v>
      </c>
      <c r="L100" s="52">
        <v>0</v>
      </c>
      <c r="M100" s="52">
        <v>0</v>
      </c>
      <c r="N100" s="52">
        <v>0</v>
      </c>
      <c r="O100" s="52">
        <f>$J$99 *O147</f>
        <v>46352.763720900286</v>
      </c>
      <c r="P100" s="52">
        <f t="shared" ref="P100:AQ100" si="104">$J$99 *P147</f>
        <v>46352.763720900286</v>
      </c>
      <c r="Q100" s="52">
        <f t="shared" si="104"/>
        <v>46352.763720900286</v>
      </c>
      <c r="R100" s="52">
        <f t="shared" si="104"/>
        <v>46352.763720900286</v>
      </c>
      <c r="S100" s="52">
        <f t="shared" si="104"/>
        <v>46352.763720900286</v>
      </c>
      <c r="T100" s="52">
        <f t="shared" si="104"/>
        <v>46352.763720900286</v>
      </c>
      <c r="U100" s="52">
        <f t="shared" si="104"/>
        <v>46352.763720900286</v>
      </c>
      <c r="V100" s="52">
        <f t="shared" si="104"/>
        <v>46352.763720900286</v>
      </c>
      <c r="W100" s="52">
        <f t="shared" si="104"/>
        <v>46352.763720900286</v>
      </c>
      <c r="X100" s="52">
        <f t="shared" si="104"/>
        <v>46352.763720900286</v>
      </c>
      <c r="Y100" s="52">
        <f t="shared" si="104"/>
        <v>46352.763720900286</v>
      </c>
      <c r="Z100" s="52">
        <f t="shared" si="104"/>
        <v>46352.763720900286</v>
      </c>
      <c r="AA100" s="52">
        <f t="shared" si="104"/>
        <v>46352.763720900286</v>
      </c>
      <c r="AB100" s="52">
        <f t="shared" si="104"/>
        <v>46352.763720900286</v>
      </c>
      <c r="AC100" s="52">
        <f t="shared" si="104"/>
        <v>46352.763720900286</v>
      </c>
      <c r="AD100" s="52">
        <f t="shared" si="104"/>
        <v>46352.763720900286</v>
      </c>
      <c r="AE100" s="52">
        <f t="shared" si="104"/>
        <v>46352.763720900286</v>
      </c>
      <c r="AF100" s="52">
        <f t="shared" si="104"/>
        <v>46352.763720900286</v>
      </c>
      <c r="AG100" s="52">
        <f t="shared" si="104"/>
        <v>46352.763720900286</v>
      </c>
      <c r="AH100" s="52">
        <f t="shared" si="104"/>
        <v>46352.763720900286</v>
      </c>
      <c r="AI100" s="52">
        <f t="shared" si="104"/>
        <v>0</v>
      </c>
      <c r="AJ100" s="52">
        <f t="shared" si="104"/>
        <v>0</v>
      </c>
      <c r="AK100" s="52">
        <f t="shared" si="104"/>
        <v>0</v>
      </c>
      <c r="AL100" s="52">
        <f t="shared" si="104"/>
        <v>0</v>
      </c>
      <c r="AM100" s="52">
        <f t="shared" si="104"/>
        <v>0</v>
      </c>
      <c r="AN100" s="52">
        <f t="shared" si="104"/>
        <v>0</v>
      </c>
      <c r="AO100" s="52">
        <f t="shared" si="104"/>
        <v>0</v>
      </c>
      <c r="AP100" s="52">
        <f t="shared" si="104"/>
        <v>0</v>
      </c>
      <c r="AQ100" s="52">
        <f t="shared" si="104"/>
        <v>0</v>
      </c>
      <c r="AR100" s="52">
        <f t="shared" ref="AR100:BC100" si="105">$J$99 *AR147</f>
        <v>0</v>
      </c>
      <c r="AS100" s="52">
        <f t="shared" si="105"/>
        <v>0</v>
      </c>
      <c r="AT100" s="52">
        <f t="shared" si="105"/>
        <v>0</v>
      </c>
      <c r="AU100" s="52">
        <f t="shared" si="105"/>
        <v>0</v>
      </c>
      <c r="AV100" s="52">
        <f t="shared" si="105"/>
        <v>0</v>
      </c>
      <c r="AW100" s="52">
        <f t="shared" si="105"/>
        <v>0</v>
      </c>
      <c r="AX100" s="52">
        <f t="shared" si="105"/>
        <v>0</v>
      </c>
      <c r="AY100" s="52">
        <f t="shared" si="105"/>
        <v>0</v>
      </c>
      <c r="AZ100" s="52">
        <f t="shared" si="105"/>
        <v>0</v>
      </c>
      <c r="BA100" s="52">
        <f t="shared" si="105"/>
        <v>0</v>
      </c>
      <c r="BB100" s="52">
        <f t="shared" si="105"/>
        <v>0</v>
      </c>
      <c r="BC100" s="52">
        <f t="shared" si="105"/>
        <v>0</v>
      </c>
    </row>
    <row r="101" spans="1:55" ht="12.95" customHeight="1" outlineLevel="1">
      <c r="A101" s="4"/>
      <c r="B101" s="4"/>
      <c r="C101" s="35"/>
      <c r="D101" s="4"/>
      <c r="E101" s="8"/>
      <c r="F101" s="4"/>
      <c r="G101" s="4"/>
      <c r="H101" s="52"/>
      <c r="I101" s="25" t="s">
        <v>52</v>
      </c>
      <c r="J101" s="52">
        <f>NPV(WACC, EqTax2Yr)</f>
        <v>156748.94361524074</v>
      </c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</row>
    <row r="102" spans="1:55" ht="12.95" customHeight="1" outlineLevel="1">
      <c r="A102" s="4"/>
      <c r="B102" s="4"/>
      <c r="C102" s="35"/>
      <c r="D102" s="4"/>
      <c r="E102" s="8"/>
      <c r="F102" s="4"/>
      <c r="G102" s="4"/>
      <c r="H102" s="4"/>
      <c r="I102" s="27"/>
      <c r="J102" s="197">
        <f>+TaxNPV-EqTaxNPV</f>
        <v>15518145.417908972</v>
      </c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</row>
    <row r="103" spans="1:55" ht="12.95" customHeight="1" outlineLevel="1">
      <c r="A103" s="4"/>
      <c r="B103" s="4"/>
      <c r="C103" s="35"/>
      <c r="D103" s="4"/>
      <c r="E103" s="8"/>
      <c r="F103" s="4"/>
      <c r="G103" s="4"/>
      <c r="H103" s="4"/>
      <c r="I103" s="4"/>
      <c r="J103" s="3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 spans="1:55" ht="12.95" customHeight="1" outlineLevel="1">
      <c r="A104" s="4"/>
      <c r="B104" s="4"/>
      <c r="C104" s="35"/>
      <c r="D104" s="4"/>
      <c r="E104" s="8"/>
      <c r="F104" s="4"/>
      <c r="G104" s="4"/>
      <c r="H104" s="4"/>
      <c r="I104" s="58" t="s">
        <v>92</v>
      </c>
      <c r="J104" s="3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 spans="1:55" ht="12.95" customHeight="1" outlineLevel="1">
      <c r="A105" s="4"/>
      <c r="B105" s="4"/>
      <c r="C105" s="35"/>
      <c r="D105" s="4"/>
      <c r="E105" s="8"/>
      <c r="F105" s="4"/>
      <c r="G105" s="4"/>
      <c r="H105" s="4"/>
      <c r="I105" s="122"/>
      <c r="J105" s="123"/>
      <c r="K105" s="87">
        <v>-4</v>
      </c>
      <c r="L105" s="87">
        <v>-3</v>
      </c>
      <c r="M105" s="87">
        <v>-2</v>
      </c>
      <c r="N105" s="87">
        <v>-1</v>
      </c>
      <c r="O105" s="87">
        <v>1</v>
      </c>
      <c r="P105" s="87">
        <v>2</v>
      </c>
      <c r="Q105" s="87">
        <v>3</v>
      </c>
      <c r="R105" s="87">
        <v>4</v>
      </c>
      <c r="S105" s="87">
        <v>5</v>
      </c>
      <c r="T105" s="87">
        <v>6</v>
      </c>
      <c r="U105" s="87">
        <v>7</v>
      </c>
      <c r="V105" s="87">
        <v>8</v>
      </c>
      <c r="W105" s="87">
        <v>9</v>
      </c>
      <c r="X105" s="87">
        <v>10</v>
      </c>
      <c r="Y105" s="87">
        <v>11</v>
      </c>
      <c r="Z105" s="87">
        <v>12</v>
      </c>
      <c r="AA105" s="87">
        <v>13</v>
      </c>
      <c r="AB105" s="87">
        <v>14</v>
      </c>
      <c r="AC105" s="87">
        <v>15</v>
      </c>
      <c r="AD105" s="87">
        <v>16</v>
      </c>
      <c r="AE105" s="87">
        <v>17</v>
      </c>
      <c r="AF105" s="87">
        <v>18</v>
      </c>
      <c r="AG105" s="87">
        <v>19</v>
      </c>
      <c r="AH105" s="87">
        <v>20</v>
      </c>
      <c r="AI105" s="87">
        <v>21</v>
      </c>
      <c r="AJ105" s="87">
        <v>22</v>
      </c>
      <c r="AK105" s="87">
        <v>23</v>
      </c>
      <c r="AL105" s="87">
        <v>24</v>
      </c>
      <c r="AM105" s="87">
        <v>25</v>
      </c>
      <c r="AN105" s="87">
        <v>26</v>
      </c>
      <c r="AO105" s="87">
        <v>27</v>
      </c>
      <c r="AP105" s="87">
        <v>28</v>
      </c>
      <c r="AQ105" s="87">
        <v>29</v>
      </c>
      <c r="AR105" s="87">
        <v>30</v>
      </c>
      <c r="AS105" s="87">
        <v>31</v>
      </c>
      <c r="AT105" s="87">
        <v>32</v>
      </c>
      <c r="AU105" s="87">
        <v>33</v>
      </c>
      <c r="AV105" s="87">
        <v>34</v>
      </c>
      <c r="AW105" s="87">
        <v>35</v>
      </c>
      <c r="AX105" s="87">
        <v>36</v>
      </c>
      <c r="AY105" s="87">
        <v>37</v>
      </c>
      <c r="AZ105" s="87">
        <v>38</v>
      </c>
      <c r="BA105" s="87">
        <v>39</v>
      </c>
      <c r="BB105" s="87">
        <v>40</v>
      </c>
      <c r="BC105" s="87">
        <v>41</v>
      </c>
    </row>
    <row r="106" spans="1:55" ht="12.95" customHeight="1" outlineLevel="1">
      <c r="A106" s="4"/>
      <c r="B106" s="4"/>
      <c r="C106" s="35"/>
      <c r="D106" s="4"/>
      <c r="E106" s="8"/>
      <c r="F106" s="4"/>
      <c r="G106" s="4"/>
      <c r="H106" s="4"/>
      <c r="I106" s="25" t="s">
        <v>109</v>
      </c>
      <c r="J106" s="3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 spans="1:55" ht="12.95" customHeight="1" outlineLevel="1">
      <c r="A107" s="4"/>
      <c r="B107" s="4"/>
      <c r="C107" s="35"/>
      <c r="D107" s="4"/>
      <c r="E107" s="8"/>
      <c r="F107" s="4"/>
      <c r="G107" s="4"/>
      <c r="H107" s="4"/>
      <c r="I107" s="25"/>
      <c r="J107" s="37"/>
      <c r="K107" s="52">
        <f t="shared" ref="K107:AQ107" si="106">K15 / $D9</f>
        <v>0</v>
      </c>
      <c r="L107" s="52">
        <f t="shared" si="106"/>
        <v>0</v>
      </c>
      <c r="M107" s="52">
        <f t="shared" si="106"/>
        <v>0</v>
      </c>
      <c r="N107" s="52">
        <f t="shared" si="106"/>
        <v>0</v>
      </c>
      <c r="O107" s="52">
        <f t="shared" si="106"/>
        <v>54039964.305276796</v>
      </c>
      <c r="P107" s="52">
        <f t="shared" si="106"/>
        <v>54039964.305276796</v>
      </c>
      <c r="Q107" s="52">
        <f t="shared" si="106"/>
        <v>54039964.305276796</v>
      </c>
      <c r="R107" s="52">
        <f t="shared" si="106"/>
        <v>54039964.305276796</v>
      </c>
      <c r="S107" s="52">
        <f t="shared" si="106"/>
        <v>54039964.305276796</v>
      </c>
      <c r="T107" s="52">
        <f t="shared" si="106"/>
        <v>54039964.305276796</v>
      </c>
      <c r="U107" s="52">
        <f t="shared" si="106"/>
        <v>54039964.305276796</v>
      </c>
      <c r="V107" s="52">
        <f t="shared" si="106"/>
        <v>54039964.305276796</v>
      </c>
      <c r="W107" s="52">
        <f t="shared" si="106"/>
        <v>54039964.305276796</v>
      </c>
      <c r="X107" s="52">
        <f t="shared" si="106"/>
        <v>54039964.305276796</v>
      </c>
      <c r="Y107" s="52">
        <f t="shared" si="106"/>
        <v>54039964.305276796</v>
      </c>
      <c r="Z107" s="52">
        <f t="shared" si="106"/>
        <v>54039964.305276796</v>
      </c>
      <c r="AA107" s="52">
        <f t="shared" si="106"/>
        <v>54039964.305276796</v>
      </c>
      <c r="AB107" s="52">
        <f t="shared" si="106"/>
        <v>54039964.305276796</v>
      </c>
      <c r="AC107" s="52">
        <f t="shared" si="106"/>
        <v>54039964.305276796</v>
      </c>
      <c r="AD107" s="52">
        <f t="shared" si="106"/>
        <v>54039964.305276796</v>
      </c>
      <c r="AE107" s="52">
        <f t="shared" si="106"/>
        <v>54039964.305276796</v>
      </c>
      <c r="AF107" s="52">
        <f t="shared" si="106"/>
        <v>54039964.305276796</v>
      </c>
      <c r="AG107" s="52">
        <f t="shared" si="106"/>
        <v>54039964.305276796</v>
      </c>
      <c r="AH107" s="52">
        <f t="shared" si="106"/>
        <v>54039964.305276796</v>
      </c>
      <c r="AI107" s="52">
        <f t="shared" si="106"/>
        <v>0</v>
      </c>
      <c r="AJ107" s="52">
        <f t="shared" si="106"/>
        <v>0</v>
      </c>
      <c r="AK107" s="52">
        <f t="shared" si="106"/>
        <v>0</v>
      </c>
      <c r="AL107" s="52">
        <f t="shared" si="106"/>
        <v>0</v>
      </c>
      <c r="AM107" s="52">
        <f t="shared" si="106"/>
        <v>0</v>
      </c>
      <c r="AN107" s="52">
        <f t="shared" si="106"/>
        <v>0</v>
      </c>
      <c r="AO107" s="52">
        <f t="shared" si="106"/>
        <v>0</v>
      </c>
      <c r="AP107" s="52">
        <f t="shared" si="106"/>
        <v>0</v>
      </c>
      <c r="AQ107" s="52">
        <f t="shared" si="106"/>
        <v>0</v>
      </c>
      <c r="AR107" s="52">
        <f t="shared" ref="AR107:BC107" si="107">AR15 / $D9</f>
        <v>0</v>
      </c>
      <c r="AS107" s="52">
        <f t="shared" si="107"/>
        <v>0</v>
      </c>
      <c r="AT107" s="52">
        <f t="shared" si="107"/>
        <v>0</v>
      </c>
      <c r="AU107" s="52">
        <f t="shared" si="107"/>
        <v>0</v>
      </c>
      <c r="AV107" s="52">
        <f t="shared" si="107"/>
        <v>0</v>
      </c>
      <c r="AW107" s="52">
        <f t="shared" si="107"/>
        <v>0</v>
      </c>
      <c r="AX107" s="52">
        <f t="shared" si="107"/>
        <v>0</v>
      </c>
      <c r="AY107" s="52">
        <f t="shared" si="107"/>
        <v>0</v>
      </c>
      <c r="AZ107" s="52">
        <f t="shared" si="107"/>
        <v>0</v>
      </c>
      <c r="BA107" s="52">
        <f t="shared" si="107"/>
        <v>0</v>
      </c>
      <c r="BB107" s="52">
        <f t="shared" si="107"/>
        <v>0</v>
      </c>
      <c r="BC107" s="52">
        <f t="shared" si="107"/>
        <v>0</v>
      </c>
    </row>
    <row r="108" spans="1:55" ht="12.95" customHeight="1" outlineLevel="1">
      <c r="A108" s="4"/>
      <c r="B108" s="4"/>
      <c r="C108" s="35"/>
      <c r="D108" s="4"/>
      <c r="E108" s="8"/>
      <c r="F108" s="4"/>
      <c r="G108" s="4"/>
      <c r="H108" s="4"/>
      <c r="I108" s="25" t="s">
        <v>93</v>
      </c>
      <c r="J108" s="52">
        <f>NPV(WACC, K107:BB107)</f>
        <v>126905823.19579451</v>
      </c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</row>
    <row r="109" spans="1:55" ht="12.95" customHeight="1" outlineLevel="1">
      <c r="A109" s="4"/>
      <c r="B109" s="4"/>
      <c r="C109" s="35"/>
      <c r="D109" s="4"/>
      <c r="E109" s="8"/>
      <c r="F109" s="4"/>
      <c r="G109" s="4"/>
      <c r="H109" s="4"/>
      <c r="I109" s="25" t="s">
        <v>94</v>
      </c>
      <c r="J109" s="196">
        <v>540399.64305276237</v>
      </c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</row>
    <row r="110" spans="1:55" ht="12.95" customHeight="1" outlineLevel="1">
      <c r="A110" s="4"/>
      <c r="B110" s="4"/>
      <c r="C110" s="35"/>
      <c r="D110" s="4"/>
      <c r="E110" s="8"/>
      <c r="F110" s="4"/>
      <c r="G110" s="4"/>
      <c r="H110" s="4"/>
      <c r="I110" s="25" t="s">
        <v>95</v>
      </c>
      <c r="J110" s="52"/>
      <c r="K110" s="52">
        <v>0</v>
      </c>
      <c r="L110" s="52">
        <v>0</v>
      </c>
      <c r="M110" s="52">
        <v>0</v>
      </c>
      <c r="N110" s="52">
        <v>0</v>
      </c>
      <c r="O110" s="52">
        <f>$J109 * O147</f>
        <v>540399.64305276237</v>
      </c>
      <c r="P110" s="52">
        <f>$J109 * P147</f>
        <v>540399.64305276237</v>
      </c>
      <c r="Q110" s="52">
        <f t="shared" ref="Q110:AQ110" si="108">$J109 * Q147</f>
        <v>540399.64305276237</v>
      </c>
      <c r="R110" s="52">
        <f t="shared" si="108"/>
        <v>540399.64305276237</v>
      </c>
      <c r="S110" s="52">
        <f t="shared" si="108"/>
        <v>540399.64305276237</v>
      </c>
      <c r="T110" s="52">
        <f t="shared" si="108"/>
        <v>540399.64305276237</v>
      </c>
      <c r="U110" s="52">
        <f t="shared" si="108"/>
        <v>540399.64305276237</v>
      </c>
      <c r="V110" s="52">
        <f t="shared" si="108"/>
        <v>540399.64305276237</v>
      </c>
      <c r="W110" s="52">
        <f t="shared" si="108"/>
        <v>540399.64305276237</v>
      </c>
      <c r="X110" s="52">
        <f t="shared" si="108"/>
        <v>540399.64305276237</v>
      </c>
      <c r="Y110" s="52">
        <f t="shared" si="108"/>
        <v>540399.64305276237</v>
      </c>
      <c r="Z110" s="52">
        <f t="shared" si="108"/>
        <v>540399.64305276237</v>
      </c>
      <c r="AA110" s="52">
        <f t="shared" si="108"/>
        <v>540399.64305276237</v>
      </c>
      <c r="AB110" s="52">
        <f t="shared" si="108"/>
        <v>540399.64305276237</v>
      </c>
      <c r="AC110" s="52">
        <f t="shared" si="108"/>
        <v>540399.64305276237</v>
      </c>
      <c r="AD110" s="52">
        <f t="shared" si="108"/>
        <v>540399.64305276237</v>
      </c>
      <c r="AE110" s="52">
        <f t="shared" si="108"/>
        <v>540399.64305276237</v>
      </c>
      <c r="AF110" s="52">
        <f t="shared" si="108"/>
        <v>540399.64305276237</v>
      </c>
      <c r="AG110" s="52">
        <f t="shared" si="108"/>
        <v>540399.64305276237</v>
      </c>
      <c r="AH110" s="52">
        <f t="shared" si="108"/>
        <v>540399.64305276237</v>
      </c>
      <c r="AI110" s="52">
        <f t="shared" si="108"/>
        <v>0</v>
      </c>
      <c r="AJ110" s="52">
        <f t="shared" si="108"/>
        <v>0</v>
      </c>
      <c r="AK110" s="52">
        <f t="shared" si="108"/>
        <v>0</v>
      </c>
      <c r="AL110" s="52">
        <f t="shared" si="108"/>
        <v>0</v>
      </c>
      <c r="AM110" s="52">
        <f t="shared" si="108"/>
        <v>0</v>
      </c>
      <c r="AN110" s="52">
        <f t="shared" si="108"/>
        <v>0</v>
      </c>
      <c r="AO110" s="52">
        <f t="shared" si="108"/>
        <v>0</v>
      </c>
      <c r="AP110" s="52">
        <f t="shared" si="108"/>
        <v>0</v>
      </c>
      <c r="AQ110" s="52">
        <f t="shared" si="108"/>
        <v>0</v>
      </c>
      <c r="AR110" s="52">
        <f t="shared" ref="AR110:BC110" si="109">$J109 * AR147</f>
        <v>0</v>
      </c>
      <c r="AS110" s="52">
        <f t="shared" si="109"/>
        <v>0</v>
      </c>
      <c r="AT110" s="52">
        <f t="shared" si="109"/>
        <v>0</v>
      </c>
      <c r="AU110" s="52">
        <f t="shared" si="109"/>
        <v>0</v>
      </c>
      <c r="AV110" s="52">
        <f t="shared" si="109"/>
        <v>0</v>
      </c>
      <c r="AW110" s="52">
        <f t="shared" si="109"/>
        <v>0</v>
      </c>
      <c r="AX110" s="52">
        <f t="shared" si="109"/>
        <v>0</v>
      </c>
      <c r="AY110" s="52">
        <f t="shared" si="109"/>
        <v>0</v>
      </c>
      <c r="AZ110" s="52">
        <f t="shared" si="109"/>
        <v>0</v>
      </c>
      <c r="BA110" s="52">
        <f t="shared" si="109"/>
        <v>0</v>
      </c>
      <c r="BB110" s="52">
        <f t="shared" si="109"/>
        <v>0</v>
      </c>
      <c r="BC110" s="52">
        <f t="shared" si="109"/>
        <v>0</v>
      </c>
    </row>
    <row r="111" spans="1:55" ht="12.95" customHeight="1" outlineLevel="1">
      <c r="A111" s="4"/>
      <c r="B111" s="4"/>
      <c r="C111" s="35"/>
      <c r="D111" s="4"/>
      <c r="E111" s="8"/>
      <c r="F111" s="4"/>
      <c r="G111" s="4"/>
      <c r="H111" s="4"/>
      <c r="I111" s="25" t="s">
        <v>52</v>
      </c>
      <c r="J111" s="52">
        <f>NPV(WACC, K110:BB110)</f>
        <v>1269058.2319579318</v>
      </c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</row>
    <row r="112" spans="1:55" ht="12.95" customHeight="1" outlineLevel="1">
      <c r="A112" s="4"/>
      <c r="B112" s="4"/>
      <c r="C112" s="35"/>
      <c r="D112" s="4"/>
      <c r="E112" s="8"/>
      <c r="F112" s="4"/>
      <c r="G112" s="4"/>
      <c r="H112" s="4"/>
      <c r="I112" s="27"/>
      <c r="J112" s="197">
        <f>J108-J111</f>
        <v>125636764.96383658</v>
      </c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</row>
    <row r="113" spans="1:55" ht="12.95" customHeight="1" outlineLevel="1">
      <c r="A113" s="4"/>
      <c r="B113" s="4"/>
      <c r="C113" s="35"/>
      <c r="D113" s="4"/>
      <c r="E113" s="8"/>
      <c r="F113" s="4"/>
      <c r="G113" s="4"/>
      <c r="H113" s="4"/>
      <c r="I113" s="4"/>
      <c r="J113" s="23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</row>
    <row r="114" spans="1:55" ht="12.95" customHeight="1" outlineLevel="1">
      <c r="A114" s="4"/>
      <c r="B114" s="4"/>
      <c r="C114" s="35"/>
      <c r="D114" s="4"/>
      <c r="E114" s="8"/>
      <c r="F114" s="4"/>
      <c r="G114" s="4"/>
      <c r="H114" s="4"/>
      <c r="I114" s="58" t="s">
        <v>96</v>
      </c>
      <c r="J114" s="3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</row>
    <row r="115" spans="1:55" ht="12.95" customHeight="1" outlineLevel="1">
      <c r="A115" s="4"/>
      <c r="B115" s="4"/>
      <c r="C115" s="35"/>
      <c r="D115" s="4"/>
      <c r="E115" s="8"/>
      <c r="F115" s="4"/>
      <c r="G115" s="4"/>
      <c r="H115" s="4"/>
      <c r="I115" s="122"/>
      <c r="J115" s="123"/>
      <c r="K115" s="87">
        <v>-4</v>
      </c>
      <c r="L115" s="87">
        <v>-3</v>
      </c>
      <c r="M115" s="87">
        <v>-2</v>
      </c>
      <c r="N115" s="87">
        <v>-1</v>
      </c>
      <c r="O115" s="87">
        <v>1</v>
      </c>
      <c r="P115" s="87">
        <v>2</v>
      </c>
      <c r="Q115" s="87">
        <v>3</v>
      </c>
      <c r="R115" s="87">
        <v>4</v>
      </c>
      <c r="S115" s="87">
        <v>5</v>
      </c>
      <c r="T115" s="87">
        <v>6</v>
      </c>
      <c r="U115" s="87">
        <v>7</v>
      </c>
      <c r="V115" s="87">
        <v>8</v>
      </c>
      <c r="W115" s="87">
        <v>9</v>
      </c>
      <c r="X115" s="87">
        <v>10</v>
      </c>
      <c r="Y115" s="87">
        <v>11</v>
      </c>
      <c r="Z115" s="87">
        <v>12</v>
      </c>
      <c r="AA115" s="87">
        <v>13</v>
      </c>
      <c r="AB115" s="87">
        <v>14</v>
      </c>
      <c r="AC115" s="87">
        <v>15</v>
      </c>
      <c r="AD115" s="87">
        <v>16</v>
      </c>
      <c r="AE115" s="87">
        <v>17</v>
      </c>
      <c r="AF115" s="87">
        <v>18</v>
      </c>
      <c r="AG115" s="87">
        <v>19</v>
      </c>
      <c r="AH115" s="87">
        <v>20</v>
      </c>
      <c r="AI115" s="87">
        <v>21</v>
      </c>
      <c r="AJ115" s="87">
        <v>22</v>
      </c>
      <c r="AK115" s="87">
        <v>23</v>
      </c>
      <c r="AL115" s="87">
        <v>24</v>
      </c>
      <c r="AM115" s="87">
        <v>25</v>
      </c>
      <c r="AN115" s="87">
        <v>26</v>
      </c>
      <c r="AO115" s="87">
        <v>27</v>
      </c>
      <c r="AP115" s="87">
        <v>28</v>
      </c>
      <c r="AQ115" s="87">
        <v>29</v>
      </c>
      <c r="AR115" s="87">
        <v>30</v>
      </c>
      <c r="AS115" s="87">
        <v>31</v>
      </c>
      <c r="AT115" s="87">
        <v>32</v>
      </c>
      <c r="AU115" s="87">
        <v>33</v>
      </c>
      <c r="AV115" s="87">
        <v>34</v>
      </c>
      <c r="AW115" s="87">
        <v>35</v>
      </c>
      <c r="AX115" s="87">
        <v>36</v>
      </c>
      <c r="AY115" s="87">
        <v>37</v>
      </c>
      <c r="AZ115" s="87">
        <v>38</v>
      </c>
      <c r="BA115" s="87">
        <v>39</v>
      </c>
      <c r="BB115" s="87">
        <v>40</v>
      </c>
      <c r="BC115" s="87">
        <v>41</v>
      </c>
    </row>
    <row r="116" spans="1:55" ht="12.95" customHeight="1" outlineLevel="1">
      <c r="A116" s="4"/>
      <c r="B116" s="4"/>
      <c r="C116" s="35"/>
      <c r="D116" s="4"/>
      <c r="E116" s="8"/>
      <c r="F116" s="4"/>
      <c r="G116" s="4"/>
      <c r="H116" s="4"/>
      <c r="I116" s="25"/>
      <c r="J116" s="23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</row>
    <row r="117" spans="1:55" ht="12.95" customHeight="1" outlineLevel="1">
      <c r="A117" s="4"/>
      <c r="B117" s="4"/>
      <c r="C117" s="35"/>
      <c r="D117" s="4"/>
      <c r="E117" s="8"/>
      <c r="F117" s="4"/>
      <c r="G117" s="4"/>
      <c r="H117" s="4"/>
      <c r="I117" s="25" t="str">
        <f t="shared" ref="I117:AQ117" si="110">I21</f>
        <v>Fuel cost</v>
      </c>
      <c r="J117" s="37" t="str">
        <f t="shared" si="110"/>
        <v>Nk</v>
      </c>
      <c r="K117" s="52">
        <f t="shared" si="110"/>
        <v>0</v>
      </c>
      <c r="L117" s="52">
        <f t="shared" si="110"/>
        <v>0</v>
      </c>
      <c r="M117" s="52">
        <f t="shared" si="110"/>
        <v>0</v>
      </c>
      <c r="N117" s="52">
        <f t="shared" si="110"/>
        <v>0</v>
      </c>
      <c r="O117" s="52">
        <f t="shared" si="110"/>
        <v>28238835.929556888</v>
      </c>
      <c r="P117" s="52">
        <f t="shared" si="110"/>
        <v>28238835.929556888</v>
      </c>
      <c r="Q117" s="52">
        <f t="shared" si="110"/>
        <v>28238835.929556888</v>
      </c>
      <c r="R117" s="52">
        <f t="shared" si="110"/>
        <v>28238835.929556888</v>
      </c>
      <c r="S117" s="52">
        <f t="shared" si="110"/>
        <v>28238835.929556888</v>
      </c>
      <c r="T117" s="52">
        <f t="shared" si="110"/>
        <v>28238835.929556888</v>
      </c>
      <c r="U117" s="52">
        <f t="shared" si="110"/>
        <v>28238835.929556888</v>
      </c>
      <c r="V117" s="52">
        <f t="shared" si="110"/>
        <v>28238835.929556888</v>
      </c>
      <c r="W117" s="52">
        <f t="shared" si="110"/>
        <v>28238835.929556888</v>
      </c>
      <c r="X117" s="52">
        <f t="shared" si="110"/>
        <v>28238835.929556888</v>
      </c>
      <c r="Y117" s="52">
        <f t="shared" si="110"/>
        <v>28238835.929556888</v>
      </c>
      <c r="Z117" s="52">
        <f t="shared" si="110"/>
        <v>28238835.929556888</v>
      </c>
      <c r="AA117" s="52">
        <f t="shared" si="110"/>
        <v>28238835.929556888</v>
      </c>
      <c r="AB117" s="52">
        <f t="shared" si="110"/>
        <v>28238835.929556888</v>
      </c>
      <c r="AC117" s="52">
        <f t="shared" si="110"/>
        <v>28238835.929556888</v>
      </c>
      <c r="AD117" s="52">
        <f t="shared" si="110"/>
        <v>28238835.929556888</v>
      </c>
      <c r="AE117" s="52">
        <f t="shared" si="110"/>
        <v>28238835.929556888</v>
      </c>
      <c r="AF117" s="52">
        <f t="shared" si="110"/>
        <v>28238835.929556888</v>
      </c>
      <c r="AG117" s="52">
        <f t="shared" si="110"/>
        <v>28238835.929556888</v>
      </c>
      <c r="AH117" s="52">
        <f t="shared" si="110"/>
        <v>28238835.929556888</v>
      </c>
      <c r="AI117" s="52">
        <f t="shared" si="110"/>
        <v>0</v>
      </c>
      <c r="AJ117" s="52">
        <f t="shared" si="110"/>
        <v>0</v>
      </c>
      <c r="AK117" s="52">
        <f t="shared" si="110"/>
        <v>0</v>
      </c>
      <c r="AL117" s="52">
        <f t="shared" si="110"/>
        <v>0</v>
      </c>
      <c r="AM117" s="52">
        <f t="shared" si="110"/>
        <v>0</v>
      </c>
      <c r="AN117" s="52">
        <f t="shared" si="110"/>
        <v>0</v>
      </c>
      <c r="AO117" s="52">
        <f t="shared" si="110"/>
        <v>0</v>
      </c>
      <c r="AP117" s="52">
        <f t="shared" si="110"/>
        <v>0</v>
      </c>
      <c r="AQ117" s="52">
        <f t="shared" si="110"/>
        <v>0</v>
      </c>
      <c r="AR117" s="52">
        <f t="shared" ref="AR117:BC117" si="111">AR21</f>
        <v>0</v>
      </c>
      <c r="AS117" s="52">
        <f t="shared" si="111"/>
        <v>0</v>
      </c>
      <c r="AT117" s="52">
        <f t="shared" si="111"/>
        <v>0</v>
      </c>
      <c r="AU117" s="52">
        <f t="shared" si="111"/>
        <v>0</v>
      </c>
      <c r="AV117" s="52">
        <f t="shared" si="111"/>
        <v>0</v>
      </c>
      <c r="AW117" s="52">
        <f t="shared" si="111"/>
        <v>0</v>
      </c>
      <c r="AX117" s="52">
        <f t="shared" si="111"/>
        <v>0</v>
      </c>
      <c r="AY117" s="52">
        <f t="shared" si="111"/>
        <v>0</v>
      </c>
      <c r="AZ117" s="52">
        <f t="shared" si="111"/>
        <v>0</v>
      </c>
      <c r="BA117" s="52">
        <f t="shared" si="111"/>
        <v>0</v>
      </c>
      <c r="BB117" s="52">
        <f t="shared" si="111"/>
        <v>0</v>
      </c>
      <c r="BC117" s="52">
        <f t="shared" si="111"/>
        <v>0</v>
      </c>
    </row>
    <row r="118" spans="1:55" ht="12.95" customHeight="1" outlineLevel="1">
      <c r="A118" s="4"/>
      <c r="B118" s="4"/>
      <c r="C118" s="35"/>
      <c r="D118" s="4"/>
      <c r="E118" s="8"/>
      <c r="F118" s="4"/>
      <c r="G118" s="4"/>
      <c r="H118" s="4"/>
      <c r="I118" s="25" t="s">
        <v>150</v>
      </c>
      <c r="J118" s="52">
        <f>NPV(WACC, K117:AR117)</f>
        <v>66315231.066528723</v>
      </c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</row>
    <row r="119" spans="1:55" ht="12.95" customHeight="1" outlineLevel="1">
      <c r="A119" s="4"/>
      <c r="B119" s="4"/>
      <c r="C119" s="35"/>
      <c r="D119" s="4"/>
      <c r="E119" s="8"/>
      <c r="F119" s="4"/>
      <c r="G119" s="4"/>
      <c r="H119" s="4"/>
      <c r="I119" s="25" t="s">
        <v>97</v>
      </c>
      <c r="J119" s="196">
        <v>282388.3592955647</v>
      </c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</row>
    <row r="120" spans="1:55" ht="12.95" customHeight="1" outlineLevel="1">
      <c r="A120" s="4"/>
      <c r="B120" s="4"/>
      <c r="C120" s="35"/>
      <c r="D120" s="4"/>
      <c r="E120" s="8"/>
      <c r="F120" s="4"/>
      <c r="G120" s="4"/>
      <c r="H120" s="4"/>
      <c r="I120" s="25" t="s">
        <v>98</v>
      </c>
      <c r="J120" s="52"/>
      <c r="K120" s="52">
        <v>0</v>
      </c>
      <c r="L120" s="52">
        <v>0</v>
      </c>
      <c r="M120" s="52">
        <v>0</v>
      </c>
      <c r="N120" s="52">
        <v>0</v>
      </c>
      <c r="O120" s="52">
        <f>$J119 * O147</f>
        <v>282388.3592955647</v>
      </c>
      <c r="P120" s="52">
        <f t="shared" ref="P120:AQ120" si="112">$J119 * P147</f>
        <v>282388.3592955647</v>
      </c>
      <c r="Q120" s="52">
        <f t="shared" si="112"/>
        <v>282388.3592955647</v>
      </c>
      <c r="R120" s="52">
        <f t="shared" si="112"/>
        <v>282388.3592955647</v>
      </c>
      <c r="S120" s="52">
        <f t="shared" si="112"/>
        <v>282388.3592955647</v>
      </c>
      <c r="T120" s="52">
        <f t="shared" si="112"/>
        <v>282388.3592955647</v>
      </c>
      <c r="U120" s="52">
        <f t="shared" si="112"/>
        <v>282388.3592955647</v>
      </c>
      <c r="V120" s="52">
        <f t="shared" si="112"/>
        <v>282388.3592955647</v>
      </c>
      <c r="W120" s="52">
        <f t="shared" si="112"/>
        <v>282388.3592955647</v>
      </c>
      <c r="X120" s="52">
        <f t="shared" si="112"/>
        <v>282388.3592955647</v>
      </c>
      <c r="Y120" s="52">
        <f t="shared" si="112"/>
        <v>282388.3592955647</v>
      </c>
      <c r="Z120" s="52">
        <f t="shared" si="112"/>
        <v>282388.3592955647</v>
      </c>
      <c r="AA120" s="52">
        <f t="shared" si="112"/>
        <v>282388.3592955647</v>
      </c>
      <c r="AB120" s="52">
        <f t="shared" si="112"/>
        <v>282388.3592955647</v>
      </c>
      <c r="AC120" s="52">
        <f t="shared" si="112"/>
        <v>282388.3592955647</v>
      </c>
      <c r="AD120" s="52">
        <f t="shared" si="112"/>
        <v>282388.3592955647</v>
      </c>
      <c r="AE120" s="52">
        <f t="shared" si="112"/>
        <v>282388.3592955647</v>
      </c>
      <c r="AF120" s="52">
        <f t="shared" si="112"/>
        <v>282388.3592955647</v>
      </c>
      <c r="AG120" s="52">
        <f t="shared" si="112"/>
        <v>282388.3592955647</v>
      </c>
      <c r="AH120" s="52">
        <f t="shared" si="112"/>
        <v>282388.3592955647</v>
      </c>
      <c r="AI120" s="52">
        <f t="shared" si="112"/>
        <v>0</v>
      </c>
      <c r="AJ120" s="52">
        <f t="shared" si="112"/>
        <v>0</v>
      </c>
      <c r="AK120" s="52">
        <f t="shared" si="112"/>
        <v>0</v>
      </c>
      <c r="AL120" s="52">
        <f t="shared" si="112"/>
        <v>0</v>
      </c>
      <c r="AM120" s="52">
        <f t="shared" si="112"/>
        <v>0</v>
      </c>
      <c r="AN120" s="52">
        <f t="shared" si="112"/>
        <v>0</v>
      </c>
      <c r="AO120" s="52">
        <f t="shared" si="112"/>
        <v>0</v>
      </c>
      <c r="AP120" s="52">
        <f t="shared" si="112"/>
        <v>0</v>
      </c>
      <c r="AQ120" s="52">
        <f t="shared" si="112"/>
        <v>0</v>
      </c>
      <c r="AR120" s="52">
        <f t="shared" ref="AR120:BC120" si="113">$J119 * AR147</f>
        <v>0</v>
      </c>
      <c r="AS120" s="52">
        <f t="shared" si="113"/>
        <v>0</v>
      </c>
      <c r="AT120" s="52">
        <f t="shared" si="113"/>
        <v>0</v>
      </c>
      <c r="AU120" s="52">
        <f t="shared" si="113"/>
        <v>0</v>
      </c>
      <c r="AV120" s="52">
        <f t="shared" si="113"/>
        <v>0</v>
      </c>
      <c r="AW120" s="52">
        <f t="shared" si="113"/>
        <v>0</v>
      </c>
      <c r="AX120" s="52">
        <f t="shared" si="113"/>
        <v>0</v>
      </c>
      <c r="AY120" s="52">
        <f t="shared" si="113"/>
        <v>0</v>
      </c>
      <c r="AZ120" s="52">
        <f t="shared" si="113"/>
        <v>0</v>
      </c>
      <c r="BA120" s="52">
        <f t="shared" si="113"/>
        <v>0</v>
      </c>
      <c r="BB120" s="52">
        <f t="shared" si="113"/>
        <v>0</v>
      </c>
      <c r="BC120" s="52">
        <f t="shared" si="113"/>
        <v>0</v>
      </c>
    </row>
    <row r="121" spans="1:55" ht="12.95" customHeight="1" outlineLevel="1">
      <c r="A121" s="4"/>
      <c r="B121" s="4"/>
      <c r="C121" s="35"/>
      <c r="D121" s="4"/>
      <c r="E121" s="8"/>
      <c r="F121" s="4"/>
      <c r="G121" s="4"/>
      <c r="H121" s="4"/>
      <c r="I121" s="25" t="s">
        <v>52</v>
      </c>
      <c r="J121" s="52">
        <f>NPV(WACC, K120:AR120)</f>
        <v>663152.31066527741</v>
      </c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</row>
    <row r="122" spans="1:55" ht="12.95" customHeight="1" outlineLevel="1">
      <c r="A122" s="4"/>
      <c r="B122" s="4"/>
      <c r="C122" s="35"/>
      <c r="D122" s="4"/>
      <c r="E122" s="8"/>
      <c r="F122" s="4"/>
      <c r="G122" s="4"/>
      <c r="H122" s="4"/>
      <c r="I122" s="27"/>
      <c r="J122" s="197">
        <f>J118-J121</f>
        <v>65652078.755863443</v>
      </c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</row>
    <row r="123" spans="1:55" ht="12.95" customHeight="1" outlineLevel="1">
      <c r="A123" s="4"/>
      <c r="B123" s="4"/>
      <c r="C123" s="35"/>
      <c r="D123" s="4"/>
      <c r="E123" s="8"/>
      <c r="F123" s="4"/>
      <c r="G123" s="4"/>
      <c r="H123" s="4"/>
      <c r="I123" s="4"/>
      <c r="J123" s="35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</row>
    <row r="124" spans="1:55" ht="12.95" customHeight="1" outlineLevel="1">
      <c r="A124" s="4"/>
      <c r="B124" s="4"/>
      <c r="C124" s="35"/>
      <c r="D124" s="4"/>
      <c r="E124" s="8"/>
      <c r="F124" s="4"/>
      <c r="G124" s="4"/>
      <c r="H124" s="4"/>
      <c r="I124" s="58" t="s">
        <v>99</v>
      </c>
      <c r="J124" s="35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</row>
    <row r="125" spans="1:55" ht="12.95" customHeight="1" outlineLevel="1">
      <c r="A125" s="4"/>
      <c r="B125" s="4"/>
      <c r="C125" s="35"/>
      <c r="D125" s="4"/>
      <c r="E125" s="8"/>
      <c r="F125" s="4"/>
      <c r="G125" s="4"/>
      <c r="H125" s="4"/>
      <c r="I125" s="122"/>
      <c r="J125" s="123"/>
      <c r="K125" s="87">
        <v>-4</v>
      </c>
      <c r="L125" s="87">
        <v>-3</v>
      </c>
      <c r="M125" s="87">
        <v>-2</v>
      </c>
      <c r="N125" s="87">
        <v>-1</v>
      </c>
      <c r="O125" s="87">
        <v>1</v>
      </c>
      <c r="P125" s="87">
        <v>2</v>
      </c>
      <c r="Q125" s="87">
        <v>3</v>
      </c>
      <c r="R125" s="87">
        <v>4</v>
      </c>
      <c r="S125" s="87">
        <v>5</v>
      </c>
      <c r="T125" s="87">
        <v>6</v>
      </c>
      <c r="U125" s="87">
        <v>7</v>
      </c>
      <c r="V125" s="87">
        <v>8</v>
      </c>
      <c r="W125" s="87">
        <v>9</v>
      </c>
      <c r="X125" s="87">
        <v>10</v>
      </c>
      <c r="Y125" s="87">
        <v>11</v>
      </c>
      <c r="Z125" s="87">
        <v>12</v>
      </c>
      <c r="AA125" s="87">
        <v>13</v>
      </c>
      <c r="AB125" s="87">
        <v>14</v>
      </c>
      <c r="AC125" s="87">
        <v>15</v>
      </c>
      <c r="AD125" s="87">
        <v>16</v>
      </c>
      <c r="AE125" s="87">
        <v>17</v>
      </c>
      <c r="AF125" s="87">
        <v>18</v>
      </c>
      <c r="AG125" s="87">
        <v>19</v>
      </c>
      <c r="AH125" s="87">
        <v>20</v>
      </c>
      <c r="AI125" s="87">
        <v>21</v>
      </c>
      <c r="AJ125" s="87">
        <v>22</v>
      </c>
      <c r="AK125" s="87">
        <v>23</v>
      </c>
      <c r="AL125" s="87">
        <v>24</v>
      </c>
      <c r="AM125" s="87">
        <v>25</v>
      </c>
      <c r="AN125" s="87">
        <v>26</v>
      </c>
      <c r="AO125" s="87">
        <v>27</v>
      </c>
      <c r="AP125" s="87">
        <v>28</v>
      </c>
      <c r="AQ125" s="87">
        <v>29</v>
      </c>
      <c r="AR125" s="87">
        <v>30</v>
      </c>
      <c r="AS125" s="87">
        <v>31</v>
      </c>
      <c r="AT125" s="87">
        <v>32</v>
      </c>
      <c r="AU125" s="87">
        <v>33</v>
      </c>
      <c r="AV125" s="87">
        <v>34</v>
      </c>
      <c r="AW125" s="87">
        <v>35</v>
      </c>
      <c r="AX125" s="87">
        <v>36</v>
      </c>
      <c r="AY125" s="87">
        <v>37</v>
      </c>
      <c r="AZ125" s="87">
        <v>38</v>
      </c>
      <c r="BA125" s="87">
        <v>39</v>
      </c>
      <c r="BB125" s="87">
        <v>40</v>
      </c>
      <c r="BC125" s="87">
        <v>41</v>
      </c>
    </row>
    <row r="126" spans="1:55" ht="12.95" customHeight="1" outlineLevel="1">
      <c r="A126" s="4"/>
      <c r="B126" s="4"/>
      <c r="C126" s="35"/>
      <c r="D126" s="4"/>
      <c r="E126" s="8"/>
      <c r="F126" s="8"/>
      <c r="G126" s="4"/>
      <c r="H126" s="4"/>
      <c r="I126" s="25"/>
      <c r="J126" s="23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</row>
    <row r="127" spans="1:55" ht="12.95" customHeight="1" outlineLevel="1">
      <c r="A127" s="4"/>
      <c r="B127" s="4"/>
      <c r="C127" s="35"/>
      <c r="D127" s="4"/>
      <c r="E127" s="8"/>
      <c r="F127" s="8"/>
      <c r="G127" s="4"/>
      <c r="H127" s="4"/>
      <c r="I127" s="25" t="str">
        <f t="shared" ref="I127:AQ127" si="114">I19</f>
        <v>Fixed O&amp;M</v>
      </c>
      <c r="J127" s="37" t="str">
        <f t="shared" si="114"/>
        <v>Nk</v>
      </c>
      <c r="K127" s="52">
        <f t="shared" si="114"/>
        <v>0</v>
      </c>
      <c r="L127" s="52">
        <f t="shared" si="114"/>
        <v>0</v>
      </c>
      <c r="M127" s="52">
        <f t="shared" si="114"/>
        <v>0</v>
      </c>
      <c r="N127" s="52">
        <f t="shared" si="114"/>
        <v>0</v>
      </c>
      <c r="O127" s="52">
        <f t="shared" si="114"/>
        <v>7807416.8437499981</v>
      </c>
      <c r="P127" s="52">
        <f t="shared" si="114"/>
        <v>7807416.8437499981</v>
      </c>
      <c r="Q127" s="52">
        <f t="shared" si="114"/>
        <v>7807416.8437499981</v>
      </c>
      <c r="R127" s="52">
        <f t="shared" si="114"/>
        <v>7807416.8437499981</v>
      </c>
      <c r="S127" s="52">
        <f t="shared" si="114"/>
        <v>7807416.8437499981</v>
      </c>
      <c r="T127" s="52">
        <f t="shared" si="114"/>
        <v>7807416.8437499981</v>
      </c>
      <c r="U127" s="52">
        <f t="shared" si="114"/>
        <v>7807416.8437499981</v>
      </c>
      <c r="V127" s="52">
        <f t="shared" si="114"/>
        <v>7807416.8437499981</v>
      </c>
      <c r="W127" s="52">
        <f t="shared" si="114"/>
        <v>7807416.8437499981</v>
      </c>
      <c r="X127" s="52">
        <f t="shared" si="114"/>
        <v>7807416.8437499981</v>
      </c>
      <c r="Y127" s="52">
        <f t="shared" si="114"/>
        <v>7807416.8437499981</v>
      </c>
      <c r="Z127" s="52">
        <f t="shared" si="114"/>
        <v>7807416.8437499981</v>
      </c>
      <c r="AA127" s="52">
        <f t="shared" si="114"/>
        <v>7807416.8437499981</v>
      </c>
      <c r="AB127" s="52">
        <f t="shared" si="114"/>
        <v>7807416.8437499981</v>
      </c>
      <c r="AC127" s="52">
        <f t="shared" si="114"/>
        <v>7807416.8437499981</v>
      </c>
      <c r="AD127" s="52">
        <f t="shared" si="114"/>
        <v>7807416.8437499981</v>
      </c>
      <c r="AE127" s="52">
        <f t="shared" si="114"/>
        <v>7807416.8437499981</v>
      </c>
      <c r="AF127" s="52">
        <f t="shared" si="114"/>
        <v>7807416.8437499981</v>
      </c>
      <c r="AG127" s="52">
        <f t="shared" si="114"/>
        <v>7807416.8437499981</v>
      </c>
      <c r="AH127" s="52">
        <f t="shared" si="114"/>
        <v>7807416.8437499981</v>
      </c>
      <c r="AI127" s="52">
        <f t="shared" si="114"/>
        <v>0</v>
      </c>
      <c r="AJ127" s="52">
        <f t="shared" si="114"/>
        <v>0</v>
      </c>
      <c r="AK127" s="52">
        <f t="shared" si="114"/>
        <v>0</v>
      </c>
      <c r="AL127" s="52">
        <f t="shared" si="114"/>
        <v>0</v>
      </c>
      <c r="AM127" s="52">
        <f t="shared" si="114"/>
        <v>0</v>
      </c>
      <c r="AN127" s="52">
        <f t="shared" si="114"/>
        <v>0</v>
      </c>
      <c r="AO127" s="52">
        <f t="shared" si="114"/>
        <v>0</v>
      </c>
      <c r="AP127" s="52">
        <f t="shared" si="114"/>
        <v>0</v>
      </c>
      <c r="AQ127" s="52">
        <f t="shared" si="114"/>
        <v>0</v>
      </c>
      <c r="AR127" s="52">
        <f t="shared" ref="AR127:BC127" si="115">AR19</f>
        <v>0</v>
      </c>
      <c r="AS127" s="52">
        <f t="shared" si="115"/>
        <v>0</v>
      </c>
      <c r="AT127" s="52">
        <f t="shared" si="115"/>
        <v>0</v>
      </c>
      <c r="AU127" s="52">
        <f t="shared" si="115"/>
        <v>0</v>
      </c>
      <c r="AV127" s="52">
        <f t="shared" si="115"/>
        <v>0</v>
      </c>
      <c r="AW127" s="52">
        <f t="shared" si="115"/>
        <v>0</v>
      </c>
      <c r="AX127" s="52">
        <f t="shared" si="115"/>
        <v>0</v>
      </c>
      <c r="AY127" s="52">
        <f t="shared" si="115"/>
        <v>0</v>
      </c>
      <c r="AZ127" s="52">
        <f t="shared" si="115"/>
        <v>0</v>
      </c>
      <c r="BA127" s="52">
        <f t="shared" si="115"/>
        <v>0</v>
      </c>
      <c r="BB127" s="52">
        <f t="shared" si="115"/>
        <v>0</v>
      </c>
      <c r="BC127" s="52">
        <f t="shared" si="115"/>
        <v>0</v>
      </c>
    </row>
    <row r="128" spans="1:55" ht="12.95" customHeight="1" outlineLevel="1">
      <c r="A128" s="4"/>
      <c r="B128" s="4"/>
      <c r="C128" s="35"/>
      <c r="D128" s="4"/>
      <c r="E128" s="8"/>
      <c r="F128" s="8"/>
      <c r="G128" s="4"/>
      <c r="H128" s="4"/>
      <c r="I128" s="25" t="s">
        <v>149</v>
      </c>
      <c r="J128" s="52">
        <f>NPV(WACC, K127:BB127)</f>
        <v>18334702.369373266</v>
      </c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</row>
    <row r="129" spans="1:55" ht="12.95" customHeight="1" outlineLevel="1">
      <c r="A129" s="4"/>
      <c r="B129" s="4"/>
      <c r="C129" s="35"/>
      <c r="D129" s="4"/>
      <c r="E129" s="8"/>
      <c r="F129" s="8"/>
      <c r="G129" s="4"/>
      <c r="H129" s="4"/>
      <c r="I129" s="25" t="s">
        <v>100</v>
      </c>
      <c r="J129" s="196">
        <v>78074.168437500019</v>
      </c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</row>
    <row r="130" spans="1:55" ht="12.95" customHeight="1" outlineLevel="1">
      <c r="A130" s="4"/>
      <c r="B130" s="4"/>
      <c r="C130" s="9"/>
      <c r="D130" s="8"/>
      <c r="E130" s="8"/>
      <c r="F130" s="8"/>
      <c r="G130" s="4"/>
      <c r="H130" s="4"/>
      <c r="I130" s="25" t="s">
        <v>101</v>
      </c>
      <c r="J130" s="52"/>
      <c r="K130" s="52">
        <v>0</v>
      </c>
      <c r="L130" s="52">
        <v>0</v>
      </c>
      <c r="M130" s="52">
        <v>0</v>
      </c>
      <c r="N130" s="52">
        <v>0</v>
      </c>
      <c r="O130" s="52">
        <f>$J129 * O147</f>
        <v>78074.168437500019</v>
      </c>
      <c r="P130" s="52">
        <f t="shared" ref="P130:AQ130" si="116">$J129 * P147</f>
        <v>78074.168437500019</v>
      </c>
      <c r="Q130" s="52">
        <f t="shared" si="116"/>
        <v>78074.168437500019</v>
      </c>
      <c r="R130" s="52">
        <f t="shared" si="116"/>
        <v>78074.168437500019</v>
      </c>
      <c r="S130" s="52">
        <f t="shared" si="116"/>
        <v>78074.168437500019</v>
      </c>
      <c r="T130" s="52">
        <f t="shared" si="116"/>
        <v>78074.168437500019</v>
      </c>
      <c r="U130" s="52">
        <f t="shared" si="116"/>
        <v>78074.168437500019</v>
      </c>
      <c r="V130" s="52">
        <f t="shared" si="116"/>
        <v>78074.168437500019</v>
      </c>
      <c r="W130" s="52">
        <f t="shared" si="116"/>
        <v>78074.168437500019</v>
      </c>
      <c r="X130" s="52">
        <f t="shared" si="116"/>
        <v>78074.168437500019</v>
      </c>
      <c r="Y130" s="52">
        <f t="shared" si="116"/>
        <v>78074.168437500019</v>
      </c>
      <c r="Z130" s="52">
        <f t="shared" si="116"/>
        <v>78074.168437500019</v>
      </c>
      <c r="AA130" s="52">
        <f t="shared" si="116"/>
        <v>78074.168437500019</v>
      </c>
      <c r="AB130" s="52">
        <f t="shared" si="116"/>
        <v>78074.168437500019</v>
      </c>
      <c r="AC130" s="52">
        <f t="shared" si="116"/>
        <v>78074.168437500019</v>
      </c>
      <c r="AD130" s="52">
        <f t="shared" si="116"/>
        <v>78074.168437500019</v>
      </c>
      <c r="AE130" s="52">
        <f t="shared" si="116"/>
        <v>78074.168437500019</v>
      </c>
      <c r="AF130" s="52">
        <f t="shared" si="116"/>
        <v>78074.168437500019</v>
      </c>
      <c r="AG130" s="52">
        <f t="shared" si="116"/>
        <v>78074.168437500019</v>
      </c>
      <c r="AH130" s="52">
        <f t="shared" si="116"/>
        <v>78074.168437500019</v>
      </c>
      <c r="AI130" s="52">
        <f t="shared" si="116"/>
        <v>0</v>
      </c>
      <c r="AJ130" s="52">
        <f t="shared" si="116"/>
        <v>0</v>
      </c>
      <c r="AK130" s="52">
        <f t="shared" si="116"/>
        <v>0</v>
      </c>
      <c r="AL130" s="52">
        <f t="shared" si="116"/>
        <v>0</v>
      </c>
      <c r="AM130" s="52">
        <f t="shared" si="116"/>
        <v>0</v>
      </c>
      <c r="AN130" s="52">
        <f t="shared" si="116"/>
        <v>0</v>
      </c>
      <c r="AO130" s="52">
        <f t="shared" si="116"/>
        <v>0</v>
      </c>
      <c r="AP130" s="52">
        <f t="shared" si="116"/>
        <v>0</v>
      </c>
      <c r="AQ130" s="52">
        <f t="shared" si="116"/>
        <v>0</v>
      </c>
      <c r="AR130" s="52">
        <f t="shared" ref="AR130:BC130" si="117">$J129 * AR147</f>
        <v>0</v>
      </c>
      <c r="AS130" s="52">
        <f t="shared" si="117"/>
        <v>0</v>
      </c>
      <c r="AT130" s="52">
        <f t="shared" si="117"/>
        <v>0</v>
      </c>
      <c r="AU130" s="52">
        <f t="shared" si="117"/>
        <v>0</v>
      </c>
      <c r="AV130" s="52">
        <f t="shared" si="117"/>
        <v>0</v>
      </c>
      <c r="AW130" s="52">
        <f t="shared" si="117"/>
        <v>0</v>
      </c>
      <c r="AX130" s="52">
        <f t="shared" si="117"/>
        <v>0</v>
      </c>
      <c r="AY130" s="52">
        <f t="shared" si="117"/>
        <v>0</v>
      </c>
      <c r="AZ130" s="52">
        <f t="shared" si="117"/>
        <v>0</v>
      </c>
      <c r="BA130" s="52">
        <f t="shared" si="117"/>
        <v>0</v>
      </c>
      <c r="BB130" s="52">
        <f t="shared" si="117"/>
        <v>0</v>
      </c>
      <c r="BC130" s="52">
        <f t="shared" si="117"/>
        <v>0</v>
      </c>
    </row>
    <row r="131" spans="1:55" ht="12.95" customHeight="1" outlineLevel="1">
      <c r="A131" s="4"/>
      <c r="B131" s="4"/>
      <c r="C131" s="9"/>
      <c r="D131" s="8"/>
      <c r="E131" s="8"/>
      <c r="F131" s="8"/>
      <c r="G131" s="4"/>
      <c r="H131" s="4"/>
      <c r="I131" s="25" t="s">
        <v>52</v>
      </c>
      <c r="J131" s="52">
        <f>NPV(WACC, K130:BB130)</f>
        <v>183347.02369373274</v>
      </c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</row>
    <row r="132" spans="1:55" ht="12.95" customHeight="1" outlineLevel="1">
      <c r="A132" s="4"/>
      <c r="B132" s="4"/>
      <c r="C132" s="9"/>
      <c r="D132" s="8"/>
      <c r="E132" s="8"/>
      <c r="F132" s="8"/>
      <c r="G132" s="4"/>
      <c r="H132" s="4"/>
      <c r="I132" s="27"/>
      <c r="J132" s="197">
        <f>J128-J131</f>
        <v>18151355.345679533</v>
      </c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</row>
    <row r="133" spans="1:55" ht="12.95" customHeight="1" outlineLevel="1">
      <c r="A133" s="4"/>
      <c r="B133" s="4"/>
      <c r="C133" s="35"/>
      <c r="D133" s="4"/>
      <c r="E133" s="4"/>
      <c r="F133" s="8"/>
      <c r="G133" s="4"/>
      <c r="H133" s="4"/>
      <c r="I133" s="4"/>
      <c r="J133" s="3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</row>
    <row r="134" spans="1:55" ht="12.95" customHeight="1" outlineLevel="1">
      <c r="A134" s="4"/>
      <c r="B134" s="4"/>
      <c r="C134" s="35"/>
      <c r="D134" s="4"/>
      <c r="E134" s="4"/>
      <c r="F134" s="8"/>
      <c r="G134" s="4"/>
      <c r="H134" s="4"/>
      <c r="I134" s="58" t="s">
        <v>102</v>
      </c>
      <c r="J134" s="3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</row>
    <row r="135" spans="1:55" ht="12.95" customHeight="1" outlineLevel="1">
      <c r="A135" s="4"/>
      <c r="B135" s="4"/>
      <c r="C135" s="35"/>
      <c r="D135" s="4"/>
      <c r="E135" s="4"/>
      <c r="F135" s="8"/>
      <c r="G135" s="4"/>
      <c r="H135" s="4"/>
      <c r="I135" s="122"/>
      <c r="J135" s="123"/>
      <c r="K135" s="87">
        <v>-4</v>
      </c>
      <c r="L135" s="87">
        <v>-3</v>
      </c>
      <c r="M135" s="87">
        <v>-2</v>
      </c>
      <c r="N135" s="87">
        <v>-1</v>
      </c>
      <c r="O135" s="87">
        <v>1</v>
      </c>
      <c r="P135" s="87">
        <v>2</v>
      </c>
      <c r="Q135" s="87">
        <v>3</v>
      </c>
      <c r="R135" s="87">
        <v>4</v>
      </c>
      <c r="S135" s="87">
        <v>5</v>
      </c>
      <c r="T135" s="87">
        <v>6</v>
      </c>
      <c r="U135" s="87">
        <v>7</v>
      </c>
      <c r="V135" s="87">
        <v>8</v>
      </c>
      <c r="W135" s="87">
        <v>9</v>
      </c>
      <c r="X135" s="87">
        <v>10</v>
      </c>
      <c r="Y135" s="87">
        <v>11</v>
      </c>
      <c r="Z135" s="87">
        <v>12</v>
      </c>
      <c r="AA135" s="87">
        <v>13</v>
      </c>
      <c r="AB135" s="87">
        <v>14</v>
      </c>
      <c r="AC135" s="87">
        <v>15</v>
      </c>
      <c r="AD135" s="87">
        <v>16</v>
      </c>
      <c r="AE135" s="87">
        <v>17</v>
      </c>
      <c r="AF135" s="87">
        <v>18</v>
      </c>
      <c r="AG135" s="87">
        <v>19</v>
      </c>
      <c r="AH135" s="87">
        <v>20</v>
      </c>
      <c r="AI135" s="87">
        <v>21</v>
      </c>
      <c r="AJ135" s="87">
        <v>22</v>
      </c>
      <c r="AK135" s="87">
        <v>23</v>
      </c>
      <c r="AL135" s="87">
        <v>24</v>
      </c>
      <c r="AM135" s="87">
        <v>25</v>
      </c>
      <c r="AN135" s="87">
        <v>26</v>
      </c>
      <c r="AO135" s="87">
        <v>27</v>
      </c>
      <c r="AP135" s="87">
        <v>28</v>
      </c>
      <c r="AQ135" s="87">
        <v>29</v>
      </c>
      <c r="AR135" s="87">
        <v>30</v>
      </c>
      <c r="AS135" s="87">
        <v>31</v>
      </c>
      <c r="AT135" s="87">
        <v>32</v>
      </c>
      <c r="AU135" s="87">
        <v>33</v>
      </c>
      <c r="AV135" s="87">
        <v>34</v>
      </c>
      <c r="AW135" s="87">
        <v>35</v>
      </c>
      <c r="AX135" s="87">
        <v>36</v>
      </c>
      <c r="AY135" s="87">
        <v>37</v>
      </c>
      <c r="AZ135" s="87">
        <v>38</v>
      </c>
      <c r="BA135" s="87">
        <v>39</v>
      </c>
      <c r="BB135" s="87">
        <v>40</v>
      </c>
      <c r="BC135" s="87">
        <v>41</v>
      </c>
    </row>
    <row r="136" spans="1:55" ht="12.95" customHeight="1" outlineLevel="1">
      <c r="A136" s="4"/>
      <c r="B136" s="4"/>
      <c r="C136" s="35"/>
      <c r="D136" s="4"/>
      <c r="E136" s="4"/>
      <c r="F136" s="8"/>
      <c r="G136" s="4"/>
      <c r="H136" s="4"/>
      <c r="I136" s="25"/>
      <c r="J136" s="3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</row>
    <row r="137" spans="1:55" ht="12.95" customHeight="1" outlineLevel="1">
      <c r="A137" s="4"/>
      <c r="B137" s="4"/>
      <c r="C137" s="35"/>
      <c r="D137" s="4"/>
      <c r="E137" s="4"/>
      <c r="F137" s="8"/>
      <c r="G137" s="4"/>
      <c r="H137" s="4"/>
      <c r="I137" s="25" t="str">
        <f t="shared" ref="I137:AQ137" si="118">I20</f>
        <v>Variable O&amp;M</v>
      </c>
      <c r="J137" s="37" t="str">
        <f t="shared" si="118"/>
        <v>Nk</v>
      </c>
      <c r="K137" s="52">
        <f t="shared" si="118"/>
        <v>0</v>
      </c>
      <c r="L137" s="52">
        <f t="shared" si="118"/>
        <v>0</v>
      </c>
      <c r="M137" s="52">
        <f t="shared" si="118"/>
        <v>0</v>
      </c>
      <c r="N137" s="52">
        <f t="shared" si="118"/>
        <v>0</v>
      </c>
      <c r="O137" s="52">
        <f t="shared" si="118"/>
        <v>708472.86918843212</v>
      </c>
      <c r="P137" s="52">
        <f t="shared" si="118"/>
        <v>708472.86918843212</v>
      </c>
      <c r="Q137" s="52">
        <f t="shared" si="118"/>
        <v>708472.86918843212</v>
      </c>
      <c r="R137" s="52">
        <f t="shared" si="118"/>
        <v>708472.86918843212</v>
      </c>
      <c r="S137" s="52">
        <f t="shared" si="118"/>
        <v>708472.86918843212</v>
      </c>
      <c r="T137" s="52">
        <f t="shared" si="118"/>
        <v>708472.86918843212</v>
      </c>
      <c r="U137" s="52">
        <f t="shared" si="118"/>
        <v>708472.86918843212</v>
      </c>
      <c r="V137" s="52">
        <f t="shared" si="118"/>
        <v>708472.86918843212</v>
      </c>
      <c r="W137" s="52">
        <f t="shared" si="118"/>
        <v>708472.86918843212</v>
      </c>
      <c r="X137" s="52">
        <f t="shared" si="118"/>
        <v>708472.86918843212</v>
      </c>
      <c r="Y137" s="52">
        <f t="shared" si="118"/>
        <v>708472.86918843212</v>
      </c>
      <c r="Z137" s="52">
        <f t="shared" si="118"/>
        <v>708472.86918843212</v>
      </c>
      <c r="AA137" s="52">
        <f t="shared" si="118"/>
        <v>708472.86918843212</v>
      </c>
      <c r="AB137" s="52">
        <f t="shared" si="118"/>
        <v>708472.86918843212</v>
      </c>
      <c r="AC137" s="52">
        <f t="shared" si="118"/>
        <v>708472.86918843212</v>
      </c>
      <c r="AD137" s="52">
        <f t="shared" si="118"/>
        <v>708472.86918843212</v>
      </c>
      <c r="AE137" s="52">
        <f t="shared" si="118"/>
        <v>708472.86918843212</v>
      </c>
      <c r="AF137" s="52">
        <f t="shared" si="118"/>
        <v>708472.86918843212</v>
      </c>
      <c r="AG137" s="52">
        <f t="shared" si="118"/>
        <v>708472.86918843212</v>
      </c>
      <c r="AH137" s="52">
        <f t="shared" si="118"/>
        <v>708472.86918843212</v>
      </c>
      <c r="AI137" s="52">
        <f t="shared" si="118"/>
        <v>0</v>
      </c>
      <c r="AJ137" s="52">
        <f t="shared" si="118"/>
        <v>0</v>
      </c>
      <c r="AK137" s="52">
        <f t="shared" si="118"/>
        <v>0</v>
      </c>
      <c r="AL137" s="52">
        <f t="shared" si="118"/>
        <v>0</v>
      </c>
      <c r="AM137" s="52">
        <f t="shared" si="118"/>
        <v>0</v>
      </c>
      <c r="AN137" s="52">
        <f t="shared" si="118"/>
        <v>0</v>
      </c>
      <c r="AO137" s="52">
        <f t="shared" si="118"/>
        <v>0</v>
      </c>
      <c r="AP137" s="52">
        <f t="shared" si="118"/>
        <v>0</v>
      </c>
      <c r="AQ137" s="52">
        <f t="shared" si="118"/>
        <v>0</v>
      </c>
      <c r="AR137" s="52">
        <f t="shared" ref="AR137:BC137" si="119">AR20</f>
        <v>0</v>
      </c>
      <c r="AS137" s="52">
        <f t="shared" si="119"/>
        <v>0</v>
      </c>
      <c r="AT137" s="52">
        <f t="shared" si="119"/>
        <v>0</v>
      </c>
      <c r="AU137" s="52">
        <f t="shared" si="119"/>
        <v>0</v>
      </c>
      <c r="AV137" s="52">
        <f t="shared" si="119"/>
        <v>0</v>
      </c>
      <c r="AW137" s="52">
        <f t="shared" si="119"/>
        <v>0</v>
      </c>
      <c r="AX137" s="52">
        <f t="shared" si="119"/>
        <v>0</v>
      </c>
      <c r="AY137" s="52">
        <f t="shared" si="119"/>
        <v>0</v>
      </c>
      <c r="AZ137" s="52">
        <f t="shared" si="119"/>
        <v>0</v>
      </c>
      <c r="BA137" s="52">
        <f t="shared" si="119"/>
        <v>0</v>
      </c>
      <c r="BB137" s="52">
        <f t="shared" si="119"/>
        <v>0</v>
      </c>
      <c r="BC137" s="52">
        <f t="shared" si="119"/>
        <v>0</v>
      </c>
    </row>
    <row r="138" spans="1:55" ht="12.95" customHeight="1" outlineLevel="1">
      <c r="A138" s="4"/>
      <c r="B138" s="4"/>
      <c r="C138" s="35"/>
      <c r="D138" s="4"/>
      <c r="E138" s="4"/>
      <c r="F138" s="8"/>
      <c r="G138" s="4"/>
      <c r="H138" s="4"/>
      <c r="I138" s="25" t="s">
        <v>148</v>
      </c>
      <c r="J138" s="52">
        <f>NPV(WACC, K137:BB137)</f>
        <v>1663756.3298217258</v>
      </c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</row>
    <row r="139" spans="1:55" ht="12.95" customHeight="1" outlineLevel="1">
      <c r="A139" s="4"/>
      <c r="B139" s="4"/>
      <c r="C139" s="35"/>
      <c r="D139" s="4"/>
      <c r="E139" s="4"/>
      <c r="F139" s="8"/>
      <c r="G139" s="4"/>
      <c r="H139" s="4"/>
      <c r="I139" s="25" t="s">
        <v>103</v>
      </c>
      <c r="J139" s="196">
        <v>7084.7286918842583</v>
      </c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</row>
    <row r="140" spans="1:55" ht="12.95" customHeight="1" outlineLevel="1">
      <c r="A140" s="4"/>
      <c r="B140" s="4"/>
      <c r="C140" s="35"/>
      <c r="D140" s="4"/>
      <c r="E140" s="4"/>
      <c r="F140" s="8"/>
      <c r="G140" s="4"/>
      <c r="H140" s="4"/>
      <c r="I140" s="25" t="s">
        <v>104</v>
      </c>
      <c r="J140" s="52"/>
      <c r="K140" s="52">
        <v>0</v>
      </c>
      <c r="L140" s="52">
        <v>0</v>
      </c>
      <c r="M140" s="52">
        <v>0</v>
      </c>
      <c r="N140" s="52">
        <v>0</v>
      </c>
      <c r="O140" s="52">
        <f>$J139 * O147</f>
        <v>7084.7286918842583</v>
      </c>
      <c r="P140" s="52">
        <f t="shared" ref="P140:AQ140" si="120">$J139 * P147</f>
        <v>7084.7286918842583</v>
      </c>
      <c r="Q140" s="52">
        <f t="shared" si="120"/>
        <v>7084.7286918842583</v>
      </c>
      <c r="R140" s="52">
        <f t="shared" si="120"/>
        <v>7084.7286918842583</v>
      </c>
      <c r="S140" s="52">
        <f t="shared" si="120"/>
        <v>7084.7286918842583</v>
      </c>
      <c r="T140" s="52">
        <f t="shared" si="120"/>
        <v>7084.7286918842583</v>
      </c>
      <c r="U140" s="52">
        <f t="shared" si="120"/>
        <v>7084.7286918842583</v>
      </c>
      <c r="V140" s="52">
        <f t="shared" si="120"/>
        <v>7084.7286918842583</v>
      </c>
      <c r="W140" s="52">
        <f t="shared" si="120"/>
        <v>7084.7286918842583</v>
      </c>
      <c r="X140" s="52">
        <f t="shared" si="120"/>
        <v>7084.7286918842583</v>
      </c>
      <c r="Y140" s="52">
        <f t="shared" si="120"/>
        <v>7084.7286918842583</v>
      </c>
      <c r="Z140" s="52">
        <f t="shared" si="120"/>
        <v>7084.7286918842583</v>
      </c>
      <c r="AA140" s="52">
        <f t="shared" si="120"/>
        <v>7084.7286918842583</v>
      </c>
      <c r="AB140" s="52">
        <f t="shared" si="120"/>
        <v>7084.7286918842583</v>
      </c>
      <c r="AC140" s="52">
        <f t="shared" si="120"/>
        <v>7084.7286918842583</v>
      </c>
      <c r="AD140" s="52">
        <f t="shared" si="120"/>
        <v>7084.7286918842583</v>
      </c>
      <c r="AE140" s="52">
        <f t="shared" si="120"/>
        <v>7084.7286918842583</v>
      </c>
      <c r="AF140" s="52">
        <f t="shared" si="120"/>
        <v>7084.7286918842583</v>
      </c>
      <c r="AG140" s="52">
        <f t="shared" si="120"/>
        <v>7084.7286918842583</v>
      </c>
      <c r="AH140" s="52">
        <f t="shared" si="120"/>
        <v>7084.7286918842583</v>
      </c>
      <c r="AI140" s="52">
        <f t="shared" si="120"/>
        <v>0</v>
      </c>
      <c r="AJ140" s="52">
        <f t="shared" si="120"/>
        <v>0</v>
      </c>
      <c r="AK140" s="52">
        <f t="shared" si="120"/>
        <v>0</v>
      </c>
      <c r="AL140" s="52">
        <f t="shared" si="120"/>
        <v>0</v>
      </c>
      <c r="AM140" s="52">
        <f t="shared" si="120"/>
        <v>0</v>
      </c>
      <c r="AN140" s="52">
        <f t="shared" si="120"/>
        <v>0</v>
      </c>
      <c r="AO140" s="52">
        <f t="shared" si="120"/>
        <v>0</v>
      </c>
      <c r="AP140" s="52">
        <f t="shared" si="120"/>
        <v>0</v>
      </c>
      <c r="AQ140" s="52">
        <f t="shared" si="120"/>
        <v>0</v>
      </c>
      <c r="AR140" s="52">
        <f t="shared" ref="AR140:BC140" si="121">$J139 * AR147</f>
        <v>0</v>
      </c>
      <c r="AS140" s="52">
        <f t="shared" si="121"/>
        <v>0</v>
      </c>
      <c r="AT140" s="52">
        <f t="shared" si="121"/>
        <v>0</v>
      </c>
      <c r="AU140" s="52">
        <f t="shared" si="121"/>
        <v>0</v>
      </c>
      <c r="AV140" s="52">
        <f t="shared" si="121"/>
        <v>0</v>
      </c>
      <c r="AW140" s="52">
        <f t="shared" si="121"/>
        <v>0</v>
      </c>
      <c r="AX140" s="52">
        <f t="shared" si="121"/>
        <v>0</v>
      </c>
      <c r="AY140" s="52">
        <f t="shared" si="121"/>
        <v>0</v>
      </c>
      <c r="AZ140" s="52">
        <f t="shared" si="121"/>
        <v>0</v>
      </c>
      <c r="BA140" s="52">
        <f t="shared" si="121"/>
        <v>0</v>
      </c>
      <c r="BB140" s="52">
        <f t="shared" si="121"/>
        <v>0</v>
      </c>
      <c r="BC140" s="52">
        <f t="shared" si="121"/>
        <v>0</v>
      </c>
    </row>
    <row r="141" spans="1:55" ht="12.95" customHeight="1" outlineLevel="1">
      <c r="A141" s="4"/>
      <c r="B141" s="4"/>
      <c r="C141" s="35"/>
      <c r="D141" s="4"/>
      <c r="E141" s="4"/>
      <c r="F141" s="8"/>
      <c r="G141" s="4"/>
      <c r="H141" s="4"/>
      <c r="I141" s="25" t="s">
        <v>52</v>
      </c>
      <c r="J141" s="52">
        <f>NPV(WACC, K140:BB140)</f>
        <v>16637.563298217116</v>
      </c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</row>
    <row r="142" spans="1:55" ht="12.95" customHeight="1" outlineLevel="1">
      <c r="A142" s="4"/>
      <c r="B142" s="4"/>
      <c r="C142" s="35"/>
      <c r="D142" s="4"/>
      <c r="E142" s="4"/>
      <c r="F142" s="8"/>
      <c r="G142" s="4"/>
      <c r="H142" s="4"/>
      <c r="I142" s="27"/>
      <c r="J142" s="197">
        <f>J138-J141</f>
        <v>1647118.7665235088</v>
      </c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</row>
    <row r="143" spans="1:55" ht="12.95" customHeight="1">
      <c r="A143" s="131"/>
      <c r="B143" s="132"/>
      <c r="C143" s="133"/>
      <c r="D143" s="132"/>
      <c r="E143" s="134"/>
      <c r="F143" s="132"/>
      <c r="G143" s="132"/>
      <c r="H143" s="132"/>
      <c r="I143" s="135" t="s">
        <v>127</v>
      </c>
      <c r="J143" s="133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</row>
    <row r="144" spans="1:55" ht="12.2" customHeight="1">
      <c r="A144" s="4"/>
      <c r="B144" s="4"/>
      <c r="C144" s="35"/>
      <c r="D144" s="4"/>
      <c r="E144" s="4"/>
      <c r="F144" s="4"/>
      <c r="G144" s="4"/>
      <c r="H144" s="4"/>
      <c r="I144" s="4"/>
      <c r="J144" s="3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</row>
    <row r="145" spans="1:52" ht="12.95" customHeight="1">
      <c r="A145" s="4"/>
      <c r="B145" s="4"/>
      <c r="C145" s="35"/>
      <c r="D145" s="4"/>
      <c r="E145" s="4"/>
      <c r="F145" s="8"/>
      <c r="G145" s="4"/>
      <c r="H145" s="4"/>
      <c r="I145" s="4"/>
      <c r="J145" s="3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</row>
    <row r="146" spans="1:52" ht="12.2" hidden="1" customHeight="1" outlineLevel="1">
      <c r="A146" s="4"/>
      <c r="B146" s="4"/>
      <c r="C146" s="35"/>
      <c r="D146" s="4"/>
      <c r="E146" s="4"/>
      <c r="F146" s="4"/>
      <c r="G146" s="4"/>
      <c r="H146" s="4"/>
      <c r="I146" s="4"/>
      <c r="J146" s="3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</row>
    <row r="147" spans="1:52" ht="12.2" hidden="1" customHeight="1" outlineLevel="1"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>
        <v>1</v>
      </c>
      <c r="AE147" s="3">
        <v>1</v>
      </c>
      <c r="AF147" s="3">
        <v>1</v>
      </c>
      <c r="AG147" s="3">
        <v>1</v>
      </c>
      <c r="AH147" s="3">
        <v>1</v>
      </c>
    </row>
    <row r="148" spans="1:52" ht="12.2" hidden="1" customHeight="1" outlineLevel="1"/>
    <row r="149" spans="1:52" ht="12.2" customHeight="1" collapsed="1"/>
  </sheetData>
  <sheetProtection formatCells="0" formatColumns="0" formatRows="0"/>
  <conditionalFormatting sqref="G9">
    <cfRule type="expression" dxfId="1" priority="1">
      <formula>IF($G$9&lt;&gt;1, 1, 0)</formula>
    </cfRule>
  </conditionalFormatting>
  <dataValidations disablePrompts="1" count="1">
    <dataValidation type="list" allowBlank="1" showInputMessage="1" showErrorMessage="1" sqref="G78" xr:uid="{00000000-0002-0000-0500-000000000000}">
      <formula1>"Real, Escalated"</formula1>
    </dataValidation>
  </dataValidations>
  <printOptions headings="1"/>
  <pageMargins left="0.5" right="0.43" top="0.78" bottom="0.97" header="0.511811023622047" footer="0.511811023622047"/>
  <pageSetup paperSize="8" scale="55" fitToHeight="3" orientation="landscape" r:id="rId1"/>
  <headerFooter alignWithMargins="0">
    <oddFooter>&amp;L&amp;F&amp;A&amp;C&amp;P / &amp;N&amp;R&amp;D&amp;T</oddFooter>
  </headerFooter>
  <ignoredErrors>
    <ignoredError sqref="D20:D24 D15:D16 D3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83911" r:id="rId4" name="Button 7">
              <controlPr defaultSize="0" print="0" autoFill="0" autoPict="0" macro="[0]!IPP_Wholesale_Contract_Prices_OneYearOnly">
                <anchor moveWithCells="1" sizeWithCells="1">
                  <from>
                    <xdr:col>5</xdr:col>
                    <xdr:colOff>76200</xdr:colOff>
                    <xdr:row>10</xdr:row>
                    <xdr:rowOff>47625</xdr:rowOff>
                  </from>
                  <to>
                    <xdr:col>6</xdr:col>
                    <xdr:colOff>514350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931" r:id="rId5" name="Button 27">
              <controlPr defaultSize="0" print="0" autoFill="0" autoPict="0" macro="[0]!control_Click">
                <anchor moveWithCells="1" sizeWithCells="1">
                  <from>
                    <xdr:col>8</xdr:col>
                    <xdr:colOff>914400</xdr:colOff>
                    <xdr:row>0</xdr:row>
                    <xdr:rowOff>161925</xdr:rowOff>
                  </from>
                  <to>
                    <xdr:col>10</xdr:col>
                    <xdr:colOff>9525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theme="9" tint="-0.249977111117893"/>
  </sheetPr>
  <dimension ref="A1:BZF144"/>
  <sheetViews>
    <sheetView showGridLines="0" zoomScaleNormal="100" workbookViewId="0">
      <pane ySplit="4" topLeftCell="A5" activePane="bottomLeft" state="frozen"/>
      <selection activeCell="F19" sqref="F19"/>
      <selection pane="bottomLeft" activeCell="F14" sqref="F14"/>
    </sheetView>
  </sheetViews>
  <sheetFormatPr defaultColWidth="9.140625" defaultRowHeight="12.75" outlineLevelRow="1" outlineLevelCol="1"/>
  <cols>
    <col min="1" max="1" width="4.42578125" customWidth="1"/>
    <col min="2" max="2" width="20" customWidth="1"/>
    <col min="3" max="3" width="44.85546875" customWidth="1"/>
    <col min="4" max="6" width="11.5703125" customWidth="1" outlineLevel="1"/>
    <col min="7" max="20" width="11.5703125" customWidth="1"/>
    <col min="21" max="49" width="10.5703125" customWidth="1"/>
    <col min="50" max="50" width="6.5703125" customWidth="1"/>
    <col min="51" max="55" width="5.42578125" bestFit="1" customWidth="1"/>
    <col min="56" max="60" width="7" customWidth="1"/>
    <col min="61" max="79" width="5.42578125" customWidth="1"/>
    <col min="80" max="81" width="9.85546875" customWidth="1"/>
    <col min="82" max="82" width="8.85546875" customWidth="1"/>
    <col min="83" max="83" width="9.42578125" customWidth="1"/>
    <col min="84" max="86" width="8.42578125" customWidth="1"/>
    <col min="87" max="98" width="10.140625" customWidth="1"/>
    <col min="99" max="99" width="9.85546875" customWidth="1"/>
    <col min="100" max="103" width="8.42578125" customWidth="1"/>
    <col min="104" max="105" width="9.42578125" customWidth="1"/>
    <col min="106" max="117" width="10.5703125" customWidth="1"/>
    <col min="118" max="127" width="8.42578125" customWidth="1"/>
    <col min="128" max="128" width="7" customWidth="1"/>
    <col min="129" max="155" width="8.42578125" customWidth="1"/>
    <col min="156" max="156" width="6.42578125" customWidth="1"/>
    <col min="157" max="157" width="6.5703125" customWidth="1"/>
    <col min="158" max="174" width="6" bestFit="1" customWidth="1"/>
    <col min="175" max="177" width="4.85546875" bestFit="1" customWidth="1"/>
    <col min="178" max="178" width="5.140625" bestFit="1" customWidth="1"/>
    <col min="179" max="190" width="4.85546875" bestFit="1" customWidth="1"/>
    <col min="191" max="191" width="6.42578125" customWidth="1"/>
    <col min="192" max="192" width="4.85546875" bestFit="1" customWidth="1"/>
    <col min="193" max="193" width="6" customWidth="1"/>
  </cols>
  <sheetData>
    <row r="1" spans="1:179 2034:2034">
      <c r="A1" s="4"/>
      <c r="B1" s="4"/>
      <c r="C1" s="4"/>
      <c r="D1" s="4"/>
      <c r="E1" s="4"/>
      <c r="F1" s="4"/>
      <c r="G1" s="38"/>
      <c r="H1" s="38"/>
      <c r="I1" s="38"/>
      <c r="J1" s="38"/>
      <c r="K1" s="38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179 2034:2034">
      <c r="A2" s="4"/>
      <c r="B2" s="4"/>
      <c r="C2" s="4"/>
      <c r="D2" s="4"/>
      <c r="E2" s="4"/>
      <c r="F2" s="4"/>
      <c r="G2" s="71"/>
      <c r="H2" s="38"/>
      <c r="I2" s="38"/>
      <c r="J2" s="38"/>
      <c r="K2" s="38"/>
      <c r="L2" s="4"/>
      <c r="M2" s="4"/>
      <c r="N2" s="4"/>
      <c r="O2" s="4"/>
      <c r="P2" s="4"/>
      <c r="Q2" s="4"/>
      <c r="R2" s="4"/>
      <c r="S2" s="4"/>
      <c r="T2" s="4"/>
      <c r="U2" s="15"/>
      <c r="V2" s="15"/>
      <c r="W2" s="15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179 2034:2034">
      <c r="A3" s="4"/>
      <c r="B3" s="4"/>
      <c r="C3" s="4"/>
      <c r="D3" s="4"/>
      <c r="E3" s="4"/>
      <c r="F3" s="4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15"/>
      <c r="V3" s="15"/>
      <c r="W3" s="15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179 2034:2034" s="18" customFormat="1" ht="15">
      <c r="A4" s="4"/>
      <c r="B4" s="23" t="s">
        <v>112</v>
      </c>
      <c r="C4" s="24"/>
      <c r="D4" s="329">
        <f>'Input Data'!F8</f>
        <v>2028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 s="15"/>
      <c r="V4" s="15"/>
      <c r="W4" s="15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179 2034:2034" s="18" customFormat="1">
      <c r="A5" s="4"/>
      <c r="B5" s="25" t="s">
        <v>111</v>
      </c>
      <c r="C5" s="26"/>
      <c r="D5" s="322">
        <f>'Input Data'!F25</f>
        <v>1600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 s="15"/>
      <c r="W5" s="15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179 2034:2034" s="18" customFormat="1">
      <c r="A6" s="4"/>
      <c r="B6" s="25" t="s">
        <v>223</v>
      </c>
      <c r="C6" s="26"/>
      <c r="D6" s="323">
        <f>'Input Data'!F26</f>
        <v>2.6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15"/>
      <c r="V6" s="15"/>
      <c r="W6" s="15"/>
      <c r="X6" s="19"/>
      <c r="Y6" s="19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179 2034:2034" s="18" customFormat="1">
      <c r="A7" s="4"/>
      <c r="B7" s="25" t="s">
        <v>70</v>
      </c>
      <c r="C7" s="26"/>
      <c r="D7" s="322">
        <f>'Input Data'!F14*'Input Data'!F25</f>
        <v>560000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 s="15"/>
      <c r="V7" s="15"/>
      <c r="W7" s="15"/>
      <c r="X7" s="16"/>
      <c r="Y7" s="16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179 2034:2034" s="18" customFormat="1">
      <c r="A8" s="4"/>
      <c r="B8" s="25" t="s">
        <v>71</v>
      </c>
      <c r="C8" s="26"/>
      <c r="D8" s="322">
        <f>'Input Data'!F18</f>
        <v>78074168.437499985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15"/>
      <c r="V8" s="15"/>
      <c r="W8" s="15"/>
      <c r="X8" s="16"/>
      <c r="Y8" s="16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179 2034:2034" s="18" customFormat="1">
      <c r="A9" s="4"/>
      <c r="B9" s="25" t="s">
        <v>78</v>
      </c>
      <c r="C9" s="26"/>
      <c r="D9" s="322">
        <f>'Input Data'!F19</f>
        <v>1030.8742573178608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15"/>
      <c r="V9" s="15"/>
      <c r="W9" s="15"/>
      <c r="X9" s="16"/>
      <c r="Y9" s="16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179 2034:2034">
      <c r="A10" s="4"/>
      <c r="B10" s="27" t="s">
        <v>152</v>
      </c>
      <c r="C10" s="28"/>
      <c r="D10" s="324">
        <f>'Input Data'!F27</f>
        <v>0.2</v>
      </c>
      <c r="U10" s="15"/>
      <c r="V10" s="15"/>
    </row>
    <row r="11" spans="1:179 2034:2034" s="18" customFormat="1">
      <c r="A11" s="4"/>
      <c r="B11" s="22"/>
      <c r="C11" s="4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15"/>
      <c r="V11" s="15"/>
      <c r="W11" s="1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</row>
    <row r="12" spans="1:179 2034:2034" s="18" customFormat="1">
      <c r="A12" s="4"/>
      <c r="B12" s="23" t="s">
        <v>82</v>
      </c>
      <c r="C12" s="54"/>
      <c r="D12" s="325">
        <v>41089.349052631602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 s="15"/>
      <c r="V12" s="15"/>
      <c r="W12" s="15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BZF12" s="18">
        <v>0</v>
      </c>
    </row>
    <row r="13" spans="1:179 2034:2034" s="18" customFormat="1">
      <c r="A13" s="4"/>
      <c r="B13" s="25" t="s">
        <v>72</v>
      </c>
      <c r="C13" s="13"/>
      <c r="D13" s="326">
        <v>11360.300994435247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 s="15"/>
      <c r="V13" s="15"/>
      <c r="W13" s="15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BZF13" s="18">
        <v>0</v>
      </c>
    </row>
    <row r="14" spans="1:179 2034:2034" s="18" customFormat="1">
      <c r="A14" s="4"/>
      <c r="B14" s="25" t="s">
        <v>73</v>
      </c>
      <c r="C14" s="13"/>
      <c r="D14" s="326">
        <v>1030.8742573178606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 s="15"/>
      <c r="V14" s="15"/>
      <c r="W14" s="15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BZF14" s="18">
        <v>0</v>
      </c>
    </row>
    <row r="15" spans="1:179 2034:2034" s="18" customFormat="1">
      <c r="A15" s="4"/>
      <c r="B15" s="25" t="s">
        <v>74</v>
      </c>
      <c r="C15" s="13"/>
      <c r="D15" s="326">
        <v>18406.520628593189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 s="15"/>
      <c r="V15" s="15"/>
      <c r="W15" s="15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BZF15" s="18">
        <v>0</v>
      </c>
    </row>
    <row r="16" spans="1:179 2034:2034" s="18" customFormat="1">
      <c r="A16" s="4"/>
      <c r="B16" s="27" t="s">
        <v>79</v>
      </c>
      <c r="C16" s="14"/>
      <c r="D16" s="327">
        <v>6744.6296045395557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 s="15"/>
      <c r="V16" s="15"/>
      <c r="W16" s="15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BZF16" s="18">
        <v>0</v>
      </c>
    </row>
    <row r="17" spans="1:179" s="18" customFormat="1">
      <c r="A17" s="1"/>
      <c r="B17" s="55" t="s">
        <v>147</v>
      </c>
      <c r="C17" s="56"/>
      <c r="D17" s="328">
        <f>SUM(D12:D16)</f>
        <v>78631.674537517451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4"/>
      <c r="V17" s="4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179">
      <c r="A18" s="4"/>
      <c r="B18" s="4"/>
      <c r="C18" s="57"/>
      <c r="D18" s="57"/>
      <c r="U18" s="4"/>
      <c r="V18" s="4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</row>
    <row r="19" spans="1:179" s="17" customFormat="1">
      <c r="A19" s="38"/>
      <c r="B19" s="4"/>
      <c r="C19" s="4"/>
      <c r="D19" s="4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 s="38"/>
      <c r="V19" s="38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</row>
    <row r="20" spans="1:179" s="18" customFormat="1">
      <c r="A20" s="4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 s="4"/>
      <c r="V20" s="4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17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17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17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5" spans="1:179">
      <c r="AO25" s="29"/>
    </row>
    <row r="26" spans="1:179">
      <c r="A26" s="44"/>
      <c r="B26" s="45"/>
      <c r="C26" s="46" t="s">
        <v>145</v>
      </c>
      <c r="D26" s="46"/>
      <c r="E26" s="46"/>
      <c r="F26" s="46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  <c r="AO26" s="29"/>
    </row>
    <row r="27" spans="1:179" hidden="1" outlineLevel="1">
      <c r="AO27" s="29"/>
    </row>
    <row r="28" spans="1:179" hidden="1" outlineLevel="1">
      <c r="G28" s="86">
        <v>2028</v>
      </c>
      <c r="H28" s="20" t="s">
        <v>124</v>
      </c>
      <c r="I28" s="15"/>
      <c r="J28" s="15"/>
      <c r="K28" s="15"/>
      <c r="AO28" s="29"/>
    </row>
    <row r="29" spans="1:179" hidden="1" outlineLevel="1">
      <c r="G29" s="86">
        <v>2028</v>
      </c>
      <c r="H29" s="20" t="s">
        <v>125</v>
      </c>
      <c r="I29" s="4"/>
      <c r="J29" s="4"/>
      <c r="K29" s="4"/>
      <c r="AO29" s="29"/>
    </row>
    <row r="30" spans="1:179" hidden="1" outlineLevel="1">
      <c r="C30" s="38" t="s">
        <v>168</v>
      </c>
      <c r="G30" t="s">
        <v>169</v>
      </c>
      <c r="H30" s="20"/>
      <c r="I30" s="4"/>
      <c r="J30" s="4"/>
      <c r="K30" s="4"/>
      <c r="AO30" s="29"/>
    </row>
    <row r="31" spans="1:179" hidden="1" outlineLevel="1">
      <c r="AO31" s="29"/>
    </row>
    <row r="32" spans="1:179" collapsed="1">
      <c r="A32" s="48"/>
      <c r="B32" s="49"/>
      <c r="C32" s="50" t="s">
        <v>146</v>
      </c>
      <c r="D32" s="50"/>
      <c r="E32" s="50"/>
      <c r="F32" s="50"/>
      <c r="G32" s="49" t="s">
        <v>206</v>
      </c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1"/>
      <c r="AO32" s="29"/>
    </row>
    <row r="33" spans="41:41">
      <c r="AO33" s="29"/>
    </row>
    <row r="34" spans="41:41">
      <c r="AO34" s="29"/>
    </row>
    <row r="35" spans="41:41">
      <c r="AO35" s="29"/>
    </row>
    <row r="144" s="71" customFormat="1"/>
  </sheetData>
  <sheetProtection formatCells="0" formatColumns="0" formatRows="0"/>
  <phoneticPr fontId="0" type="noConversion"/>
  <conditionalFormatting sqref="G30">
    <cfRule type="expression" dxfId="0" priority="1">
      <formula>"if($G$48 equal ""Yes"")"</formula>
    </cfRule>
  </conditionalFormatting>
  <dataValidations count="2">
    <dataValidation type="whole" allowBlank="1" showInputMessage="1" showErrorMessage="1" errorTitle="Invalide Years" error="Enter year between 2012 and 2025" promptTitle="Wholesales Years" prompt="Enter wholesale year between 2012 and 2025" sqref="G29:G30" xr:uid="{00000000-0002-0000-0600-000000000000}">
      <formula1>MIN(D4:AAD4)</formula1>
      <formula2>MAX(D4:AAD4)</formula2>
    </dataValidation>
    <dataValidation type="whole" allowBlank="1" showInputMessage="1" showErrorMessage="1" errorTitle="Invalide Years" error="Enter year between 2012 and 2025" promptTitle="Wholesales Years" prompt="Enter wholesale year between 2012 and 2025" sqref="G28" xr:uid="{00000000-0002-0000-0600-000001000000}">
      <formula1>MIN(D4:AAD4)</formula1>
      <formula2>MAX(D4:AAD4)</formula2>
    </dataValidation>
  </dataValidations>
  <pageMargins left="0.75" right="0.75" top="1" bottom="1" header="0.5" footer="0.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43" r:id="rId4" name="Button 75">
              <controlPr defaultSize="0" print="0" autoFill="0" autoPict="0" macro="[0]!Genco_Prices_2">
                <anchor moveWithCells="1" sizeWithCells="1">
                  <from>
                    <xdr:col>0</xdr:col>
                    <xdr:colOff>200025</xdr:colOff>
                    <xdr:row>0</xdr:row>
                    <xdr:rowOff>76200</xdr:rowOff>
                  </from>
                  <to>
                    <xdr:col>2</xdr:col>
                    <xdr:colOff>857250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5" name="Button 77">
              <controlPr defaultSize="0" print="0" autoFill="0" autoPict="0" macro="[0]!control_Click">
                <anchor moveWithCells="1" sizeWithCells="1">
                  <from>
                    <xdr:col>2</xdr:col>
                    <xdr:colOff>904875</xdr:colOff>
                    <xdr:row>0</xdr:row>
                    <xdr:rowOff>85725</xdr:rowOff>
                  </from>
                  <to>
                    <xdr:col>2</xdr:col>
                    <xdr:colOff>2057400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H18"/>
  <sheetViews>
    <sheetView workbookViewId="0">
      <selection activeCell="E17" sqref="E17"/>
    </sheetView>
  </sheetViews>
  <sheetFormatPr defaultRowHeight="12.75"/>
  <cols>
    <col min="4" max="5" width="13.42578125" bestFit="1" customWidth="1"/>
  </cols>
  <sheetData>
    <row r="1" spans="1:8" ht="15">
      <c r="A1" s="210"/>
      <c r="B1" s="210"/>
      <c r="C1" s="210">
        <v>2</v>
      </c>
      <c r="D1" s="210">
        <v>1.3</v>
      </c>
      <c r="E1" s="210">
        <v>1.5</v>
      </c>
      <c r="F1" s="210"/>
      <c r="G1" s="210"/>
      <c r="H1" s="210"/>
    </row>
    <row r="2" spans="1:8" ht="15">
      <c r="A2" s="210"/>
      <c r="B2" s="210"/>
      <c r="C2" s="210"/>
      <c r="D2" s="210">
        <v>2011</v>
      </c>
      <c r="E2" s="210">
        <v>2012</v>
      </c>
      <c r="F2" s="210"/>
      <c r="G2" s="210"/>
      <c r="H2" s="210"/>
    </row>
    <row r="3" spans="1:8" ht="15">
      <c r="A3" s="366" t="s">
        <v>12</v>
      </c>
      <c r="B3" s="366"/>
      <c r="C3" s="366"/>
      <c r="D3" s="366" t="s">
        <v>155</v>
      </c>
      <c r="E3" s="366"/>
      <c r="F3" s="210"/>
      <c r="G3" s="211" t="s">
        <v>156</v>
      </c>
      <c r="H3" s="210"/>
    </row>
    <row r="4" spans="1:8" ht="15">
      <c r="A4" s="210" t="s">
        <v>157</v>
      </c>
      <c r="B4" s="210"/>
      <c r="C4" s="210"/>
      <c r="D4" s="212">
        <v>50</v>
      </c>
      <c r="E4" s="212">
        <f>D4*$D$1</f>
        <v>65</v>
      </c>
      <c r="F4" s="212"/>
      <c r="G4" s="212">
        <v>2.2000000000000002</v>
      </c>
      <c r="H4" s="212">
        <f>G4*$D$1</f>
        <v>2.8600000000000003</v>
      </c>
    </row>
    <row r="5" spans="1:8" ht="15">
      <c r="A5" s="210" t="s">
        <v>158</v>
      </c>
      <c r="B5" s="210"/>
      <c r="C5" s="210"/>
      <c r="D5" s="212">
        <v>300</v>
      </c>
      <c r="E5" s="212">
        <f>D5*$D$1</f>
        <v>390</v>
      </c>
      <c r="F5" s="212"/>
      <c r="G5" s="212">
        <v>10</v>
      </c>
      <c r="H5" s="214">
        <f>G5*$E$1</f>
        <v>15</v>
      </c>
    </row>
    <row r="6" spans="1:8" ht="15">
      <c r="A6" s="213" t="s">
        <v>159</v>
      </c>
      <c r="B6" s="213"/>
      <c r="C6" s="213"/>
      <c r="D6" s="214">
        <v>12509</v>
      </c>
      <c r="E6" s="214">
        <f>D6*$C$1</f>
        <v>25018</v>
      </c>
      <c r="F6" s="214"/>
      <c r="G6" s="214">
        <v>15.6</v>
      </c>
      <c r="H6" s="214">
        <f>G6*$E$1</f>
        <v>23.4</v>
      </c>
    </row>
    <row r="7" spans="1:8" ht="15">
      <c r="A7" s="213" t="s">
        <v>160</v>
      </c>
      <c r="B7" s="213"/>
      <c r="C7" s="213"/>
      <c r="D7" s="214">
        <v>78178</v>
      </c>
      <c r="E7" s="214">
        <f>D7*$E$1</f>
        <v>117267</v>
      </c>
      <c r="F7" s="214"/>
      <c r="G7" s="214">
        <v>15.6</v>
      </c>
      <c r="H7" s="214">
        <f>G7*$E$1</f>
        <v>23.4</v>
      </c>
    </row>
    <row r="8" spans="1:8" ht="15">
      <c r="A8" s="210" t="s">
        <v>13</v>
      </c>
      <c r="B8" s="210"/>
      <c r="C8" s="210"/>
      <c r="D8" s="212">
        <v>272</v>
      </c>
      <c r="E8" s="212">
        <f>D8*$D$1</f>
        <v>353.6</v>
      </c>
      <c r="F8" s="212"/>
      <c r="G8" s="212">
        <v>14.4</v>
      </c>
      <c r="H8" s="212">
        <f>G8*$D$1</f>
        <v>18.720000000000002</v>
      </c>
    </row>
    <row r="9" spans="1:8" ht="15">
      <c r="A9" s="213" t="s">
        <v>14</v>
      </c>
      <c r="B9" s="213"/>
      <c r="C9" s="213"/>
      <c r="D9" s="214">
        <v>11340</v>
      </c>
      <c r="E9" s="214">
        <f>D9*$C$1</f>
        <v>22680</v>
      </c>
      <c r="F9" s="214"/>
      <c r="G9" s="214">
        <v>14.5</v>
      </c>
      <c r="H9" s="214">
        <f>G9*$E$1</f>
        <v>21.75</v>
      </c>
    </row>
    <row r="10" spans="1:8" ht="15">
      <c r="A10" s="213" t="s">
        <v>15</v>
      </c>
      <c r="B10" s="213"/>
      <c r="C10" s="213"/>
      <c r="D10" s="214">
        <v>70874</v>
      </c>
      <c r="E10" s="214">
        <f>D10*$E$1</f>
        <v>106311</v>
      </c>
      <c r="F10" s="214"/>
      <c r="G10" s="214">
        <v>14.5</v>
      </c>
      <c r="H10" s="214">
        <f>G10*$E$1</f>
        <v>21.75</v>
      </c>
    </row>
    <row r="11" spans="1:8" ht="15">
      <c r="A11" s="210" t="s">
        <v>161</v>
      </c>
      <c r="B11" s="210" t="s">
        <v>11</v>
      </c>
      <c r="C11" s="210"/>
      <c r="D11" s="212">
        <v>201</v>
      </c>
      <c r="E11" s="212">
        <f>D11*$D$1</f>
        <v>261.3</v>
      </c>
      <c r="F11" s="212"/>
      <c r="G11" s="212">
        <v>11.7</v>
      </c>
      <c r="H11" s="214">
        <f t="shared" ref="H11:H17" si="0">G11*$E$1</f>
        <v>17.549999999999997</v>
      </c>
    </row>
    <row r="12" spans="1:8" ht="15">
      <c r="A12" s="213" t="s">
        <v>16</v>
      </c>
      <c r="B12" s="213"/>
      <c r="C12" s="213"/>
      <c r="D12" s="214">
        <v>69733</v>
      </c>
      <c r="E12" s="214">
        <f>D12*$E$1</f>
        <v>104599.5</v>
      </c>
      <c r="F12" s="214"/>
      <c r="G12" s="214">
        <v>15.2</v>
      </c>
      <c r="H12" s="214">
        <f t="shared" si="0"/>
        <v>22.799999999999997</v>
      </c>
    </row>
    <row r="13" spans="1:8" ht="15">
      <c r="A13" s="213" t="s">
        <v>17</v>
      </c>
      <c r="B13" s="213"/>
      <c r="C13" s="213"/>
      <c r="D13" s="214">
        <v>70874</v>
      </c>
      <c r="E13" s="214">
        <f>D13*$E$1</f>
        <v>106311</v>
      </c>
      <c r="F13" s="214"/>
      <c r="G13" s="214">
        <v>15.2</v>
      </c>
      <c r="H13" s="214">
        <f t="shared" si="0"/>
        <v>22.799999999999997</v>
      </c>
    </row>
    <row r="14" spans="1:8" ht="15">
      <c r="A14" s="210" t="s">
        <v>162</v>
      </c>
      <c r="B14" s="210"/>
      <c r="C14" s="210"/>
      <c r="D14" s="212">
        <v>240</v>
      </c>
      <c r="E14" s="212">
        <f>D14*$D$1</f>
        <v>312</v>
      </c>
      <c r="F14" s="212"/>
      <c r="G14" s="212">
        <v>11.2</v>
      </c>
      <c r="H14" s="214">
        <f t="shared" si="0"/>
        <v>16.799999999999997</v>
      </c>
    </row>
    <row r="15" spans="1:8" ht="15">
      <c r="A15" s="210" t="s">
        <v>163</v>
      </c>
      <c r="B15" s="210"/>
      <c r="C15" s="210"/>
      <c r="D15" s="212">
        <v>31250</v>
      </c>
      <c r="E15" s="212">
        <f>D15*$D$1</f>
        <v>40625</v>
      </c>
      <c r="F15" s="212"/>
      <c r="G15" s="212">
        <v>11.2</v>
      </c>
      <c r="H15" s="214">
        <f t="shared" si="0"/>
        <v>16.799999999999997</v>
      </c>
    </row>
    <row r="16" spans="1:8" ht="15">
      <c r="A16" s="210" t="s">
        <v>164</v>
      </c>
      <c r="B16" s="210"/>
      <c r="C16" s="210"/>
      <c r="D16" s="212">
        <v>31250</v>
      </c>
      <c r="E16" s="212">
        <f>D16*$D$1</f>
        <v>40625</v>
      </c>
      <c r="F16" s="212"/>
      <c r="G16" s="212">
        <v>11.2</v>
      </c>
      <c r="H16" s="214">
        <f t="shared" si="0"/>
        <v>16.799999999999997</v>
      </c>
    </row>
    <row r="17" spans="1:8" ht="15">
      <c r="A17" s="210" t="s">
        <v>165</v>
      </c>
      <c r="B17" s="210"/>
      <c r="C17" s="210"/>
      <c r="D17" s="212">
        <v>451</v>
      </c>
      <c r="E17" s="212">
        <f>D17*$D$1</f>
        <v>586.30000000000007</v>
      </c>
      <c r="F17" s="212"/>
      <c r="G17" s="212">
        <v>8.6</v>
      </c>
      <c r="H17" s="214">
        <f t="shared" si="0"/>
        <v>12.899999999999999</v>
      </c>
    </row>
    <row r="18" spans="1:8" ht="15">
      <c r="A18" s="210"/>
      <c r="B18" s="210"/>
      <c r="C18" s="210"/>
      <c r="D18" s="212"/>
      <c r="E18" s="212"/>
      <c r="F18" s="212"/>
      <c r="G18" s="212"/>
      <c r="H18" s="212" t="s">
        <v>2</v>
      </c>
    </row>
  </sheetData>
  <mergeCells count="2">
    <mergeCell ref="A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58</vt:i4>
      </vt:variant>
    </vt:vector>
  </HeadingPairs>
  <TitlesOfParts>
    <vt:vector size="65" baseType="lpstr">
      <vt:lpstr>Cover Page</vt:lpstr>
      <vt:lpstr>Control</vt:lpstr>
      <vt:lpstr>User Guide</vt:lpstr>
      <vt:lpstr>Input Data</vt:lpstr>
      <vt:lpstr>New Entrant Model (NEM)</vt:lpstr>
      <vt:lpstr>Gen Prices</vt:lpstr>
      <vt:lpstr>Basis-2011</vt:lpstr>
      <vt:lpstr>'New Entrant Model (NEM)'!Capex1Yr</vt:lpstr>
      <vt:lpstr>'New Entrant Model (NEM)'!Capex2Yr</vt:lpstr>
      <vt:lpstr>'New Entrant Model (NEM)'!Capex3Yr</vt:lpstr>
      <vt:lpstr>'New Entrant Model (NEM)'!Capex4Yr</vt:lpstr>
      <vt:lpstr>'New Entrant Model (NEM)'!CapexNPV</vt:lpstr>
      <vt:lpstr>'New Entrant Model (NEM)'!CapexPayment</vt:lpstr>
      <vt:lpstr>'New Entrant Model (NEM)'!Cons1Year</vt:lpstr>
      <vt:lpstr>'New Entrant Model (NEM)'!Cons2Year</vt:lpstr>
      <vt:lpstr>'New Entrant Model (NEM)'!Cons3Year</vt:lpstr>
      <vt:lpstr>'New Entrant Model (NEM)'!Cons4Year</vt:lpstr>
      <vt:lpstr>'New Entrant Model (NEM)'!ConYr1</vt:lpstr>
      <vt:lpstr>'New Entrant Model (NEM)'!ConYr2</vt:lpstr>
      <vt:lpstr>'New Entrant Model (NEM)'!ConYr3</vt:lpstr>
      <vt:lpstr>'New Entrant Model (NEM)'!ConYr4</vt:lpstr>
      <vt:lpstr>'New Entrant Model (NEM)'!EqCapex1Yr</vt:lpstr>
      <vt:lpstr>'New Entrant Model (NEM)'!EqCapex2Yr</vt:lpstr>
      <vt:lpstr>'New Entrant Model (NEM)'!EqCapex3Yr</vt:lpstr>
      <vt:lpstr>'New Entrant Model (NEM)'!EqCapex4Yr</vt:lpstr>
      <vt:lpstr>'New Entrant Model (NEM)'!EqCapexNPV</vt:lpstr>
      <vt:lpstr>EqFeulNPV</vt:lpstr>
      <vt:lpstr>EqFOMNPV</vt:lpstr>
      <vt:lpstr>EqFuelNPV</vt:lpstr>
      <vt:lpstr>EqRevenueNPV</vt:lpstr>
      <vt:lpstr>'New Entrant Model (NEM)'!EqTax1Yr</vt:lpstr>
      <vt:lpstr>'New Entrant Model (NEM)'!EqTax2Yr</vt:lpstr>
      <vt:lpstr>'New Entrant Model (NEM)'!EqTax3Yr</vt:lpstr>
      <vt:lpstr>'New Entrant Model (NEM)'!EqTax4Yr</vt:lpstr>
      <vt:lpstr>'New Entrant Model (NEM)'!EqTaxNPV</vt:lpstr>
      <vt:lpstr>EqVOMNPV</vt:lpstr>
      <vt:lpstr>FOMNPV</vt:lpstr>
      <vt:lpstr>FOMPayment</vt:lpstr>
      <vt:lpstr>FuelNPV</vt:lpstr>
      <vt:lpstr>FuelPayment</vt:lpstr>
      <vt:lpstr>MIGA_NPV_US</vt:lpstr>
      <vt:lpstr>Model_year</vt:lpstr>
      <vt:lpstr>'New Entrant Model (NEM)'!NECost</vt:lpstr>
      <vt:lpstr>NEM_capex</vt:lpstr>
      <vt:lpstr>NEM_FOM</vt:lpstr>
      <vt:lpstr>NEM_Forex</vt:lpstr>
      <vt:lpstr>NEM_Fuel</vt:lpstr>
      <vt:lpstr>NEM_VOM</vt:lpstr>
      <vt:lpstr>NEM_year</vt:lpstr>
      <vt:lpstr>'New Entrant Model (NEM)'!NPV</vt:lpstr>
      <vt:lpstr>'New Entrant Model (NEM)'!Print_Area</vt:lpstr>
      <vt:lpstr>RevenueNPV</vt:lpstr>
      <vt:lpstr>RevenuePayment</vt:lpstr>
      <vt:lpstr>'New Entrant Model (NEM)'!TaxNPV</vt:lpstr>
      <vt:lpstr>'New Entrant Model (NEM)'!TaxNPV1Yr</vt:lpstr>
      <vt:lpstr>'New Entrant Model (NEM)'!TaxNPV2Yr</vt:lpstr>
      <vt:lpstr>'New Entrant Model (NEM)'!TaxNPV3Yr</vt:lpstr>
      <vt:lpstr>'New Entrant Model (NEM)'!TaxNPV4Yr</vt:lpstr>
      <vt:lpstr>'New Entrant Model (NEM)'!TaxPayment</vt:lpstr>
      <vt:lpstr>VOMNPV</vt:lpstr>
      <vt:lpstr>VOMPayment</vt:lpstr>
      <vt:lpstr>'New Entrant Model (NEM)'!WACC</vt:lpstr>
      <vt:lpstr>Wholesale_endyr</vt:lpstr>
      <vt:lpstr>Wholesale_Eq</vt:lpstr>
      <vt:lpstr>Wholesale_firstyr</vt:lpstr>
    </vt:vector>
  </TitlesOfParts>
  <Company>ACIL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Embedded Generation Pricing</dc:title>
  <dc:subject>Nigeria MYTO Tariff</dc:subject>
  <dc:creator>S2R Consulting</dc:creator>
  <dc:description>June 2012</dc:description>
  <cp:lastModifiedBy>ikenna Uche</cp:lastModifiedBy>
  <cp:lastPrinted>2012-05-08T11:59:46Z</cp:lastPrinted>
  <dcterms:created xsi:type="dcterms:W3CDTF">2003-08-07T05:05:21Z</dcterms:created>
  <dcterms:modified xsi:type="dcterms:W3CDTF">2025-01-30T14:42:20Z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